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0" activeTab="1"/>
  </bookViews>
  <sheets>
    <sheet name="2007-08" sheetId="1" r:id="rId1"/>
    <sheet name="2006-07" sheetId="2" r:id="rId2"/>
    <sheet name="Fig 1" sheetId="3" r:id="rId3"/>
    <sheet name="Fig 2" sheetId="4" r:id="rId4"/>
    <sheet name="Fig 3" sheetId="5" r:id="rId5"/>
    <sheet name="2005-06" sheetId="6" r:id="rId6"/>
    <sheet name="2004-05" sheetId="7" r:id="rId7"/>
    <sheet name="2003-04" sheetId="8" r:id="rId8"/>
    <sheet name="2002-03" sheetId="9" r:id="rId9"/>
    <sheet name="2001-02" sheetId="10" r:id="rId10"/>
    <sheet name="2000-01" sheetId="11" r:id="rId11"/>
    <sheet name="1999-00" sheetId="12" r:id="rId12"/>
    <sheet name="1998-99" sheetId="13" r:id="rId13"/>
    <sheet name="1997-98" sheetId="14" r:id="rId14"/>
    <sheet name="1996-97" sheetId="15" r:id="rId15"/>
    <sheet name="1995-96" sheetId="16" r:id="rId16"/>
    <sheet name="Ratios" sheetId="17" r:id="rId17"/>
  </sheets>
  <definedNames>
    <definedName name="_xlnm.Print_Area" localSheetId="16">'Ratios'!$A$18:$L$64</definedName>
    <definedName name="Print_val_var">#REF!</definedName>
  </definedNames>
  <calcPr fullCalcOnLoad="1"/>
</workbook>
</file>

<file path=xl/sharedStrings.xml><?xml version="1.0" encoding="utf-8"?>
<sst xmlns="http://schemas.openxmlformats.org/spreadsheetml/2006/main" count="1184" uniqueCount="68">
  <si>
    <t>3. Total Compensation. Total compensation includes salary plus institutional contribution to benefits.</t>
  </si>
  <si>
    <t>2003-04</t>
  </si>
  <si>
    <t>2002-03</t>
  </si>
  <si>
    <t>UO March Average</t>
  </si>
  <si>
    <t>2001-02</t>
  </si>
  <si>
    <t>2000-01</t>
  </si>
  <si>
    <t>1999-00</t>
  </si>
  <si>
    <t>1998-99</t>
  </si>
  <si>
    <t>1997-98</t>
  </si>
  <si>
    <t>1996-97</t>
  </si>
  <si>
    <t>1995-96</t>
  </si>
  <si>
    <t>Institution</t>
  </si>
  <si>
    <t>Benefit Ratios</t>
  </si>
  <si>
    <t>Number of Faculty</t>
  </si>
  <si>
    <t>Assoc.</t>
  </si>
  <si>
    <t>Assis.</t>
  </si>
  <si>
    <t>Instr.</t>
  </si>
  <si>
    <t>Data for weighted means</t>
  </si>
  <si>
    <t>U Michigan</t>
  </si>
  <si>
    <t>U Virginia</t>
  </si>
  <si>
    <t>U Iowa</t>
  </si>
  <si>
    <t>U North Carolina Chapel Hill</t>
  </si>
  <si>
    <t>Indiana U Bloomington</t>
  </si>
  <si>
    <t>U Colorado Boulder</t>
  </si>
  <si>
    <t>U Washington</t>
  </si>
  <si>
    <t>Peer Total</t>
  </si>
  <si>
    <t>University of Oregon</t>
  </si>
  <si>
    <t>NA</t>
  </si>
  <si>
    <t>2005-06</t>
  </si>
  <si>
    <t>Total</t>
  </si>
  <si>
    <t>1. University of Oregon's peer institutions include University of Michigan, University of California Santa Barbara, University of Virginia, University of Iowa, University of North Carolina Chapel Hill, Indiana University at Bloomington, University of Colorado at Boulder, and University of Washington.</t>
  </si>
  <si>
    <r>
      <t>Notes</t>
    </r>
    <r>
      <rPr>
        <sz val="8"/>
        <rFont val="Arial"/>
        <family val="0"/>
      </rPr>
      <t>:</t>
    </r>
  </si>
  <si>
    <t>Source: UO Office of Institutional Research.</t>
  </si>
  <si>
    <t>3. Between 2005 and 2006, the rate of inflation for the Portland-Salem area was 2.6% (Bureau of Labor Statistics).</t>
  </si>
  <si>
    <t>2006-07</t>
  </si>
  <si>
    <r>
      <t xml:space="preserve">2. The compensation figures are based data collected by AAUP in the Fall of 2006 and reported in </t>
    </r>
    <r>
      <rPr>
        <i/>
        <sz val="8"/>
        <rFont val="Arial"/>
        <family val="2"/>
      </rPr>
      <t>Academe</t>
    </r>
    <r>
      <rPr>
        <sz val="8"/>
        <rFont val="Arial"/>
        <family val="0"/>
      </rPr>
      <t xml:space="preserve"> (April 2007). </t>
    </r>
  </si>
  <si>
    <t>Average March Increase</t>
  </si>
  <si>
    <t>2007-08</t>
  </si>
  <si>
    <t>UO January Average</t>
  </si>
  <si>
    <t>Average January Increase</t>
  </si>
  <si>
    <t>Average Salary</t>
  </si>
  <si>
    <t>Average Compensation</t>
  </si>
  <si>
    <t>(dollars in thousands)</t>
  </si>
  <si>
    <t>2004-05</t>
  </si>
  <si>
    <t>Full</t>
  </si>
  <si>
    <t>Associate</t>
  </si>
  <si>
    <t>Assistant</t>
  </si>
  <si>
    <t>Instructor</t>
  </si>
  <si>
    <t>Weighted w/o Instructors (35:30:30)</t>
  </si>
  <si>
    <t>Weighted (35:30:30:5)</t>
  </si>
  <si>
    <t>University of Michigan</t>
  </si>
  <si>
    <t>UC Santa Barbara</t>
  </si>
  <si>
    <t>*</t>
  </si>
  <si>
    <t>University of Virginia</t>
  </si>
  <si>
    <t>University of Iowa</t>
  </si>
  <si>
    <t>U. North Carolina - Chapel Hill</t>
  </si>
  <si>
    <t>Indiana University - Bloomington</t>
  </si>
  <si>
    <t>University of Colorado - Boulder</t>
  </si>
  <si>
    <t>University of Washington</t>
  </si>
  <si>
    <t xml:space="preserve">Peer Average </t>
  </si>
  <si>
    <r>
      <t xml:space="preserve">Peer Average </t>
    </r>
    <r>
      <rPr>
        <i/>
        <sz val="8"/>
        <rFont val="Arial"/>
        <family val="2"/>
      </rPr>
      <t>(weighted)</t>
    </r>
  </si>
  <si>
    <r>
      <t xml:space="preserve">UO per </t>
    </r>
    <r>
      <rPr>
        <i/>
        <sz val="8"/>
        <rFont val="Arial"/>
        <family val="2"/>
      </rPr>
      <t>Academe</t>
    </r>
  </si>
  <si>
    <t>UO Percentage of Peers</t>
  </si>
  <si>
    <t>UO Percentage Prior Year</t>
  </si>
  <si>
    <t>Difference</t>
  </si>
  <si>
    <t>Notes:</t>
  </si>
  <si>
    <t>1. Salary. This figure represents the contracted salary excluding summer teaching, stipends, extra load, or other forms of remuneration.</t>
  </si>
  <si>
    <t>2. Benefits. Compensation includes benefits made by the institution on behalf of the individual faculty member; the amount does not include the employee contribution. Major benefits include a) retirement, b) medical insurance, c) disability income protection, d) tuition for faculty dependents, e) dental insurance, f) social security, g) unemployment insurance, h) group life insurance, i) workers' compensation insurance, j) other benefits in-kind with cash alternatives.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</si>
</sst>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Red]0.0"/>
    <numFmt numFmtId="165" formatCode="0.0"/>
    <numFmt numFmtId="166" formatCode="0.0%"/>
    <numFmt numFmtId="167" formatCode="0.00;[Red]0.00"/>
    <numFmt numFmtId="168" formatCode="0.000;[Red]0.000"/>
    <numFmt numFmtId="169" formatCode="0.0000"/>
    <numFmt numFmtId="170" formatCode="0.00000"/>
    <numFmt numFmtId="171" formatCode="0.000"/>
    <numFmt numFmtId="172" formatCode="0.000000"/>
    <numFmt numFmtId="173" formatCode="0.000%"/>
    <numFmt numFmtId="174" formatCode="0.00000000"/>
    <numFmt numFmtId="175" formatCode="0.000000000"/>
    <numFmt numFmtId="176" formatCode="0.0000000"/>
    <numFmt numFmtId="177" formatCode="_(* #,##0_);_(* \(#,##0\);_(* &quot;-&quot;??_);_(@_)"/>
    <numFmt numFmtId="178" formatCode="#,##0.0"/>
    <numFmt numFmtId="179" formatCode="0;[Red]0"/>
    <numFmt numFmtId="180" formatCode="0.0000000000"/>
  </numFmts>
  <fonts count="28">
    <font>
      <sz val="10"/>
      <name val="Arial"/>
      <family val="0"/>
    </font>
    <font>
      <sz val="8"/>
      <name val="Arial"/>
      <family val="0"/>
    </font>
    <font>
      <b/>
      <sz val="8"/>
      <name val="Arial"/>
      <family val="2"/>
    </font>
    <font>
      <i/>
      <sz val="8"/>
      <name val="Arial"/>
      <family val="2"/>
    </font>
    <font>
      <b/>
      <i/>
      <sz val="8"/>
      <name val="Arial"/>
      <family val="2"/>
    </font>
    <font>
      <sz val="12"/>
      <name val="Arial"/>
      <family val="0"/>
    </font>
    <font>
      <u val="single"/>
      <sz val="12"/>
      <color indexed="36"/>
      <name val="Arial"/>
      <family val="0"/>
    </font>
    <font>
      <u val="single"/>
      <sz val="12"/>
      <color indexed="12"/>
      <name val="Arial"/>
      <family val="0"/>
    </font>
    <font>
      <b/>
      <sz val="1.5"/>
      <name val="Arial"/>
      <family val="2"/>
    </font>
    <font>
      <b/>
      <sz val="1.25"/>
      <name val="Arial"/>
      <family val="2"/>
    </font>
    <font>
      <sz val="1.75"/>
      <name val="Arial"/>
      <family val="0"/>
    </font>
    <font>
      <sz val="1.25"/>
      <name val="Arial"/>
      <family val="2"/>
    </font>
    <font>
      <i/>
      <sz val="1.25"/>
      <name val="Arial"/>
      <family val="2"/>
    </font>
    <font>
      <b/>
      <sz val="11"/>
      <name val="Arial"/>
      <family val="2"/>
    </font>
    <font>
      <b/>
      <sz val="9.25"/>
      <name val="Arial"/>
      <family val="2"/>
    </font>
    <font>
      <sz val="8.5"/>
      <name val="Arial"/>
      <family val="2"/>
    </font>
    <font>
      <i/>
      <sz val="8.5"/>
      <name val="Arial"/>
      <family val="2"/>
    </font>
    <font>
      <b/>
      <sz val="12"/>
      <name val="Arial"/>
      <family val="2"/>
    </font>
    <font>
      <b/>
      <sz val="9.5"/>
      <name val="Arial"/>
      <family val="0"/>
    </font>
    <font>
      <sz val="8.75"/>
      <name val="Arial"/>
      <family val="2"/>
    </font>
    <font>
      <b/>
      <sz val="11.25"/>
      <name val="Arial"/>
      <family val="2"/>
    </font>
    <font>
      <b/>
      <i/>
      <sz val="11.25"/>
      <name val="Arial"/>
      <family val="2"/>
    </font>
    <font>
      <b/>
      <i/>
      <sz val="11"/>
      <name val="Arial"/>
      <family val="2"/>
    </font>
    <font>
      <b/>
      <sz val="5.5"/>
      <name val="Arial"/>
      <family val="2"/>
    </font>
    <font>
      <b/>
      <i/>
      <sz val="12"/>
      <name val="Arial"/>
      <family val="2"/>
    </font>
    <font>
      <b/>
      <sz val="5.75"/>
      <name val="Arial"/>
      <family val="2"/>
    </font>
    <font>
      <b/>
      <u val="single"/>
      <sz val="11"/>
      <name val="Arial"/>
      <family val="2"/>
    </font>
    <font>
      <b/>
      <u val="single"/>
      <sz val="12"/>
      <name val="Arial"/>
      <family val="2"/>
    </font>
  </fonts>
  <fills count="3">
    <fill>
      <patternFill/>
    </fill>
    <fill>
      <patternFill patternType="gray125"/>
    </fill>
    <fill>
      <patternFill patternType="solid">
        <fgColor indexed="54"/>
        <bgColor indexed="64"/>
      </patternFill>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53">
    <xf numFmtId="0" fontId="0" fillId="0" borderId="0" xfId="0" applyAlignment="1">
      <alignment/>
    </xf>
    <xf numFmtId="9" fontId="1" fillId="2" borderId="0" xfId="22" applyFont="1" applyFill="1" applyBorder="1" applyAlignment="1">
      <alignment horizontal="center"/>
    </xf>
    <xf numFmtId="166" fontId="2" fillId="0" borderId="0" xfId="22" applyNumberFormat="1" applyFont="1" applyFill="1" applyBorder="1" applyAlignment="1">
      <alignment horizontal="center"/>
    </xf>
    <xf numFmtId="166" fontId="1" fillId="0" borderId="0" xfId="22" applyNumberFormat="1" applyFont="1" applyFill="1" applyBorder="1" applyAlignment="1">
      <alignment horizontal="center"/>
    </xf>
    <xf numFmtId="166" fontId="1" fillId="2" borderId="0" xfId="22" applyNumberFormat="1" applyFont="1" applyFill="1" applyBorder="1" applyAlignment="1">
      <alignment horizontal="center"/>
    </xf>
    <xf numFmtId="0" fontId="1" fillId="0" borderId="0" xfId="21" applyFont="1" applyFill="1" applyBorder="1">
      <alignment/>
      <protection/>
    </xf>
    <xf numFmtId="0" fontId="1" fillId="0" borderId="0" xfId="21" applyFont="1" applyFill="1" applyBorder="1" applyAlignment="1">
      <alignment horizontal="center"/>
      <protection/>
    </xf>
    <xf numFmtId="0" fontId="2" fillId="0" borderId="0" xfId="21" applyFont="1" applyFill="1" applyBorder="1" applyAlignment="1">
      <alignment horizontal="center" vertical="center"/>
      <protection/>
    </xf>
    <xf numFmtId="0" fontId="1" fillId="0" borderId="0" xfId="21" applyFont="1" applyFill="1" applyBorder="1" applyAlignment="1">
      <alignment horizontal="center" vertical="center" wrapText="1"/>
      <protection/>
    </xf>
    <xf numFmtId="0" fontId="1" fillId="2" borderId="0" xfId="21" applyFont="1" applyFill="1" applyBorder="1" applyAlignment="1">
      <alignment horizontal="center"/>
      <protection/>
    </xf>
    <xf numFmtId="164" fontId="1" fillId="0" borderId="0" xfId="21" applyNumberFormat="1" applyFont="1" applyFill="1" applyBorder="1" applyAlignment="1">
      <alignment horizontal="center"/>
      <protection/>
    </xf>
    <xf numFmtId="165" fontId="1" fillId="0" borderId="0" xfId="21" applyNumberFormat="1" applyFont="1" applyFill="1" applyBorder="1" applyAlignment="1">
      <alignment horizontal="center"/>
      <protection/>
    </xf>
    <xf numFmtId="0" fontId="4" fillId="0" borderId="0" xfId="21" applyFont="1" applyFill="1" applyBorder="1">
      <alignment/>
      <protection/>
    </xf>
    <xf numFmtId="0" fontId="2" fillId="2" borderId="0" xfId="21" applyFont="1" applyFill="1" applyBorder="1" applyAlignment="1">
      <alignment horizontal="center"/>
      <protection/>
    </xf>
    <xf numFmtId="166" fontId="1" fillId="0" borderId="0" xfId="21" applyNumberFormat="1" applyFont="1" applyFill="1" applyBorder="1" applyAlignment="1">
      <alignment horizontal="center"/>
      <protection/>
    </xf>
    <xf numFmtId="0" fontId="3" fillId="0" borderId="0" xfId="21" applyFont="1" applyFill="1" applyBorder="1">
      <alignment/>
      <protection/>
    </xf>
    <xf numFmtId="0" fontId="3" fillId="0" borderId="0" xfId="21" applyFont="1" applyFill="1" applyBorder="1" applyAlignment="1">
      <alignment horizontal="center"/>
      <protection/>
    </xf>
    <xf numFmtId="166" fontId="3" fillId="0" borderId="0" xfId="21" applyNumberFormat="1" applyFont="1" applyFill="1" applyBorder="1" applyAlignment="1">
      <alignment horizontal="center"/>
      <protection/>
    </xf>
    <xf numFmtId="0" fontId="3" fillId="0" borderId="0" xfId="21" applyFont="1" applyFill="1" applyBorder="1" applyAlignment="1">
      <alignment vertical="top" wrapText="1"/>
      <protection/>
    </xf>
    <xf numFmtId="10" fontId="1" fillId="0" borderId="0" xfId="22" applyNumberFormat="1" applyFont="1" applyFill="1" applyBorder="1" applyAlignment="1">
      <alignment horizontal="center"/>
    </xf>
    <xf numFmtId="3" fontId="1" fillId="0" borderId="0" xfId="21" applyNumberFormat="1" applyFont="1" applyFill="1" applyBorder="1" applyAlignment="1">
      <alignment horizontal="center"/>
      <protection/>
    </xf>
    <xf numFmtId="10" fontId="1" fillId="0" borderId="0" xfId="21" applyNumberFormat="1" applyFont="1" applyFill="1" applyBorder="1" applyAlignment="1">
      <alignment horizontal="center"/>
      <protection/>
    </xf>
    <xf numFmtId="0" fontId="1" fillId="0" borderId="0" xfId="21" applyFont="1" applyFill="1" applyBorder="1" applyAlignment="1">
      <alignment horizontal="left"/>
      <protection/>
    </xf>
    <xf numFmtId="10" fontId="4" fillId="0" borderId="0" xfId="21" applyNumberFormat="1" applyFont="1" applyFill="1" applyBorder="1">
      <alignment/>
      <protection/>
    </xf>
    <xf numFmtId="10" fontId="4" fillId="0" borderId="0" xfId="21" applyNumberFormat="1" applyFont="1" applyFill="1" applyBorder="1" applyAlignment="1">
      <alignment horizontal="center"/>
      <protection/>
    </xf>
    <xf numFmtId="10" fontId="1" fillId="0" borderId="0" xfId="21" applyNumberFormat="1" applyFont="1" applyFill="1" applyBorder="1">
      <alignment/>
      <protection/>
    </xf>
    <xf numFmtId="0" fontId="1" fillId="0" borderId="0" xfId="21" applyFont="1">
      <alignment/>
      <protection/>
    </xf>
    <xf numFmtId="3" fontId="1" fillId="0" borderId="0" xfId="21" applyNumberFormat="1" applyFont="1" applyFill="1" applyBorder="1">
      <alignment/>
      <protection/>
    </xf>
    <xf numFmtId="3" fontId="4" fillId="0" borderId="0" xfId="21" applyNumberFormat="1" applyFont="1" applyFill="1" applyBorder="1">
      <alignment/>
      <protection/>
    </xf>
    <xf numFmtId="3" fontId="1" fillId="0" borderId="0" xfId="21" applyNumberFormat="1" applyFont="1">
      <alignment/>
      <protection/>
    </xf>
    <xf numFmtId="9" fontId="0" fillId="0" borderId="0" xfId="22" applyAlignment="1">
      <alignment/>
    </xf>
    <xf numFmtId="0" fontId="1" fillId="0" borderId="0" xfId="0" applyFont="1" applyAlignment="1">
      <alignment/>
    </xf>
    <xf numFmtId="0" fontId="1" fillId="0" borderId="0" xfId="0" applyFont="1" applyAlignment="1">
      <alignment horizontal="center"/>
    </xf>
    <xf numFmtId="165" fontId="1" fillId="0" borderId="0" xfId="22" applyNumberFormat="1" applyFont="1" applyAlignment="1">
      <alignment horizontal="center"/>
    </xf>
    <xf numFmtId="0" fontId="3" fillId="0" borderId="0" xfId="0" applyFont="1" applyAlignment="1">
      <alignment/>
    </xf>
    <xf numFmtId="165" fontId="1" fillId="0" borderId="0" xfId="0" applyNumberFormat="1" applyFont="1" applyAlignment="1">
      <alignment horizontal="center"/>
    </xf>
    <xf numFmtId="0" fontId="1" fillId="0" borderId="0" xfId="0" applyFont="1" applyAlignment="1">
      <alignment horizontal="center"/>
    </xf>
    <xf numFmtId="0" fontId="3" fillId="0" borderId="0" xfId="0" applyFont="1" applyAlignment="1">
      <alignment horizontal="left"/>
    </xf>
    <xf numFmtId="0" fontId="1" fillId="0" borderId="0" xfId="22" applyNumberFormat="1" applyFont="1" applyAlignment="1">
      <alignment horizontal="center"/>
    </xf>
    <xf numFmtId="164" fontId="0" fillId="0" borderId="0" xfId="0" applyNumberFormat="1" applyAlignment="1">
      <alignment/>
    </xf>
    <xf numFmtId="168" fontId="0" fillId="0" borderId="0" xfId="0" applyNumberFormat="1" applyAlignment="1">
      <alignment/>
    </xf>
    <xf numFmtId="166" fontId="0" fillId="0" borderId="0" xfId="0" applyNumberFormat="1" applyAlignment="1">
      <alignment/>
    </xf>
    <xf numFmtId="2" fontId="1" fillId="0" borderId="0" xfId="0" applyNumberFormat="1" applyFont="1" applyAlignment="1">
      <alignment/>
    </xf>
    <xf numFmtId="0" fontId="3" fillId="0" borderId="0" xfId="21" applyFont="1" applyFill="1" applyBorder="1" applyAlignment="1">
      <alignment horizontal="left" vertical="top" wrapText="1"/>
      <protection/>
    </xf>
    <xf numFmtId="0" fontId="2" fillId="0" borderId="0" xfId="21" applyFont="1" applyFill="1" applyBorder="1" applyAlignment="1">
      <alignment horizontal="center"/>
      <protection/>
    </xf>
    <xf numFmtId="0" fontId="2" fillId="0" borderId="1" xfId="21" applyFont="1" applyFill="1" applyBorder="1" applyAlignment="1">
      <alignment horizontal="center"/>
      <protection/>
    </xf>
    <xf numFmtId="0" fontId="3"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top" wrapText="1"/>
    </xf>
    <xf numFmtId="0" fontId="3" fillId="0" borderId="0" xfId="21" applyFont="1" applyFill="1" applyBorder="1" applyAlignment="1">
      <alignment horizontal="center"/>
      <protection/>
    </xf>
    <xf numFmtId="10" fontId="2" fillId="0" borderId="1" xfId="21" applyNumberFormat="1" applyFont="1" applyFill="1" applyBorder="1" applyAlignment="1">
      <alignment horizontal="center"/>
      <protection/>
    </xf>
    <xf numFmtId="10" fontId="2" fillId="0" borderId="0" xfId="21" applyNumberFormat="1" applyFont="1" applyFill="1" applyBorder="1" applyAlignment="1">
      <alignment horizontal="center" vertical="center"/>
      <protection/>
    </xf>
    <xf numFmtId="3" fontId="3" fillId="0" borderId="0" xfId="21" applyNumberFormat="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alary Comparisons 1996-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Figure 1
UO Faculty Total Compensation Relative to Peer Institutions, 1999-00 to 2004-05</a:t>
            </a:r>
          </a:p>
        </c:rich>
      </c:tx>
      <c:layout/>
      <c:spPr>
        <a:noFill/>
        <a:ln>
          <a:noFill/>
        </a:ln>
      </c:spPr>
    </c:title>
    <c:plotArea>
      <c:layout/>
      <c:barChart>
        <c:barDir val="col"/>
        <c:grouping val="clustered"/>
        <c:varyColors val="0"/>
        <c:ser>
          <c:idx val="0"/>
          <c:order val="0"/>
          <c:tx>
            <c:strRef>
              <c:f>'1999-00'!$B$3</c:f>
              <c:strCache>
                <c:ptCount val="1"/>
                <c:pt idx="0">
                  <c:v>1999-00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'1999-00'!$J$3:$L$3</c:f>
              <c:strCache>
                <c:ptCount val="1"/>
                <c:pt idx="0">
                  <c:v>Full</c:v>
                </c:pt>
              </c:strCache>
            </c:strRef>
          </c:cat>
          <c:val>
            <c:numRef>
              <c:f>'1999-00'!$L$19</c:f>
              <c:numCache>
                <c:ptCount val="1"/>
                <c:pt idx="0">
                  <c:v>0.8964732650739478</c:v>
                </c:pt>
              </c:numCache>
            </c:numRef>
          </c:val>
        </c:ser>
        <c:axId val="18517552"/>
        <c:axId val="32440241"/>
      </c:barChart>
      <c:catAx>
        <c:axId val="18517552"/>
        <c:scaling>
          <c:orientation val="minMax"/>
        </c:scaling>
        <c:axPos val="b"/>
        <c:title>
          <c:tx>
            <c:rich>
              <a:bodyPr vert="horz" rot="0" anchor="ctr"/>
              <a:lstStyle/>
              <a:p>
                <a:pPr algn="ctr">
                  <a:defRPr/>
                </a:pPr>
                <a:r>
                  <a:rPr lang="en-US" cap="none" sz="125" b="1" i="0" u="none" baseline="0">
                    <a:latin typeface="Arial"/>
                    <a:ea typeface="Arial"/>
                    <a:cs typeface="Arial"/>
                  </a:rPr>
                  <a:t>UO Faculty Rank</a:t>
                </a:r>
              </a:p>
            </c:rich>
          </c:tx>
          <c:layout/>
          <c:overlay val="0"/>
          <c:spPr>
            <a:noFill/>
            <a:ln>
              <a:noFill/>
            </a:ln>
          </c:spPr>
        </c:title>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32440241"/>
        <c:crosses val="autoZero"/>
        <c:auto val="1"/>
        <c:lblOffset val="100"/>
        <c:noMultiLvlLbl val="0"/>
      </c:catAx>
      <c:valAx>
        <c:axId val="32440241"/>
        <c:scaling>
          <c:orientation val="minMax"/>
          <c:max val="100"/>
          <c:min val="75"/>
        </c:scaling>
        <c:axPos val="l"/>
        <c:title>
          <c:tx>
            <c:rich>
              <a:bodyPr vert="horz" rot="-5400000" anchor="ctr"/>
              <a:lstStyle/>
              <a:p>
                <a:pPr algn="ctr">
                  <a:defRPr/>
                </a:pPr>
                <a:r>
                  <a:rPr lang="en-US" cap="none" sz="125" b="1" i="0" u="none" baseline="0">
                    <a:latin typeface="Arial"/>
                    <a:ea typeface="Arial"/>
                    <a:cs typeface="Arial"/>
                  </a:rPr>
                  <a:t>Total Compensation Compared to Peer Institutions (%)</a:t>
                </a:r>
              </a:p>
            </c:rich>
          </c:tx>
          <c:layout/>
          <c:overlay val="0"/>
          <c:spPr>
            <a:noFill/>
            <a:ln>
              <a:noFill/>
            </a:ln>
          </c:spPr>
        </c:title>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8517552"/>
        <c:crossesAt val="1"/>
        <c:crossBetween val="between"/>
        <c:dispUnits/>
      </c:valAx>
      <c:spPr>
        <a:noFill/>
        <a:ln>
          <a:noFill/>
        </a:ln>
      </c:spPr>
    </c:plotArea>
    <c:legend>
      <c:legendPos val="t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1" u="none" baseline="0">
                <a:latin typeface="Arial"/>
                <a:ea typeface="Arial"/>
                <a:cs typeface="Arial"/>
              </a:rPr>
              <a:t>Figure 1</a:t>
            </a:r>
            <a:r>
              <a:rPr lang="en-US" cap="none" sz="1125" b="1" i="0" u="none" baseline="0">
                <a:latin typeface="Arial"/>
                <a:ea typeface="Arial"/>
                <a:cs typeface="Arial"/>
              </a:rPr>
              <a:t>
</a:t>
            </a:r>
            <a:r>
              <a:rPr lang="en-US" cap="none" sz="1100" b="1" i="0" u="none" baseline="0">
                <a:latin typeface="Arial"/>
                <a:ea typeface="Arial"/>
                <a:cs typeface="Arial"/>
              </a:rPr>
              <a:t>UO Faculty </a:t>
            </a:r>
            <a:r>
              <a:rPr lang="en-US" cap="none" sz="1100" b="1" i="0" u="sng" baseline="0">
                <a:latin typeface="Arial"/>
                <a:ea typeface="Arial"/>
                <a:cs typeface="Arial"/>
              </a:rPr>
              <a:t>Total Compensation</a:t>
            </a:r>
            <a:r>
              <a:rPr lang="en-US" cap="none" sz="1100" b="1" i="0" u="none" baseline="0">
                <a:latin typeface="Arial"/>
                <a:ea typeface="Arial"/>
                <a:cs typeface="Arial"/>
              </a:rPr>
              <a:t> Relative to Peer Institutions
2000-01 to 2006-07</a:t>
            </a:r>
          </a:p>
        </c:rich>
      </c:tx>
      <c:layout/>
      <c:spPr>
        <a:noFill/>
        <a:ln>
          <a:noFill/>
        </a:ln>
      </c:spPr>
    </c:title>
    <c:plotArea>
      <c:layout>
        <c:manualLayout>
          <c:xMode val="edge"/>
          <c:yMode val="edge"/>
          <c:x val="0.0665"/>
          <c:y val="0.14325"/>
          <c:w val="0.77025"/>
          <c:h val="0.7345"/>
        </c:manualLayout>
      </c:layout>
      <c:barChart>
        <c:barDir val="col"/>
        <c:grouping val="clustered"/>
        <c:varyColors val="0"/>
        <c:ser>
          <c:idx val="1"/>
          <c:order val="0"/>
          <c:tx>
            <c:strRef>
              <c:f>'Fig 1'!$A$2</c:f>
              <c:strCache>
                <c:ptCount val="1"/>
                <c:pt idx="0">
                  <c:v>2000-01</c:v>
                </c:pt>
              </c:strCache>
            </c:strRef>
          </c:tx>
          <c:spPr>
            <a:gradFill rotWithShape="1">
              <a:gsLst>
                <a:gs pos="0">
                  <a:srgbClr val="CCFFCC"/>
                </a:gs>
                <a:gs pos="100000">
                  <a:srgbClr val="86A886"/>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1'!$B$1:$E$1</c:f>
              <c:strCache/>
            </c:strRef>
          </c:cat>
          <c:val>
            <c:numRef>
              <c:f>'Fig 1'!$B$2:$E$2</c:f>
              <c:numCache>
                <c:ptCount val="4"/>
                <c:pt idx="0">
                  <c:v>0</c:v>
                </c:pt>
                <c:pt idx="1">
                  <c:v>0</c:v>
                </c:pt>
                <c:pt idx="2">
                  <c:v>0</c:v>
                </c:pt>
                <c:pt idx="3">
                  <c:v>0</c:v>
                </c:pt>
              </c:numCache>
            </c:numRef>
          </c:val>
        </c:ser>
        <c:ser>
          <c:idx val="2"/>
          <c:order val="1"/>
          <c:tx>
            <c:strRef>
              <c:f>'Fig 1'!$A$3</c:f>
              <c:strCache>
                <c:ptCount val="1"/>
                <c:pt idx="0">
                  <c:v>2001-02</c:v>
                </c:pt>
              </c:strCache>
            </c:strRef>
          </c:tx>
          <c:spPr>
            <a:gradFill rotWithShape="1">
              <a:gsLst>
                <a:gs pos="0">
                  <a:srgbClr val="CCFFFF"/>
                </a:gs>
                <a:gs pos="100000">
                  <a:srgbClr val="86A8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1'!$B$1:$E$1</c:f>
              <c:strCache/>
            </c:strRef>
          </c:cat>
          <c:val>
            <c:numRef>
              <c:f>'Fig 1'!$B$3:$E$3</c:f>
              <c:numCache>
                <c:ptCount val="4"/>
                <c:pt idx="0">
                  <c:v>0</c:v>
                </c:pt>
                <c:pt idx="1">
                  <c:v>0</c:v>
                </c:pt>
                <c:pt idx="2">
                  <c:v>0</c:v>
                </c:pt>
                <c:pt idx="3">
                  <c:v>0</c:v>
                </c:pt>
              </c:numCache>
            </c:numRef>
          </c:val>
        </c:ser>
        <c:ser>
          <c:idx val="3"/>
          <c:order val="2"/>
          <c:tx>
            <c:strRef>
              <c:f>'Fig 1'!$A$4</c:f>
              <c:strCache>
                <c:ptCount val="1"/>
                <c:pt idx="0">
                  <c:v>2002-03</c:v>
                </c:pt>
              </c:strCache>
            </c:strRef>
          </c:tx>
          <c:spPr>
            <a:gradFill rotWithShape="1">
              <a:gsLst>
                <a:gs pos="0">
                  <a:srgbClr val="99CCFF"/>
                </a:gs>
                <a:gs pos="100000">
                  <a:srgbClr val="6586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1'!$B$1:$E$1</c:f>
              <c:strCache/>
            </c:strRef>
          </c:cat>
          <c:val>
            <c:numRef>
              <c:f>'Fig 1'!$B$4:$E$4</c:f>
              <c:numCache>
                <c:ptCount val="4"/>
                <c:pt idx="0">
                  <c:v>0</c:v>
                </c:pt>
                <c:pt idx="1">
                  <c:v>0</c:v>
                </c:pt>
                <c:pt idx="2">
                  <c:v>0</c:v>
                </c:pt>
                <c:pt idx="3">
                  <c:v>0</c:v>
                </c:pt>
              </c:numCache>
            </c:numRef>
          </c:val>
        </c:ser>
        <c:ser>
          <c:idx val="4"/>
          <c:order val="3"/>
          <c:tx>
            <c:strRef>
              <c:f>'Fig 1'!$A$5</c:f>
              <c:strCache>
                <c:ptCount val="1"/>
                <c:pt idx="0">
                  <c:v>2003-04</c:v>
                </c:pt>
              </c:strCache>
            </c:strRef>
          </c:tx>
          <c:spPr>
            <a:gradFill rotWithShape="1">
              <a:gsLst>
                <a:gs pos="0">
                  <a:srgbClr val="CCCCFF"/>
                </a:gs>
                <a:gs pos="100000">
                  <a:srgbClr val="8686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1'!$B$1:$E$1</c:f>
              <c:strCache/>
            </c:strRef>
          </c:cat>
          <c:val>
            <c:numRef>
              <c:f>'Fig 1'!$B$5:$E$5</c:f>
              <c:numCache>
                <c:ptCount val="4"/>
                <c:pt idx="0">
                  <c:v>0</c:v>
                </c:pt>
                <c:pt idx="1">
                  <c:v>0</c:v>
                </c:pt>
                <c:pt idx="2">
                  <c:v>0</c:v>
                </c:pt>
                <c:pt idx="3">
                  <c:v>0</c:v>
                </c:pt>
              </c:numCache>
            </c:numRef>
          </c:val>
        </c:ser>
        <c:ser>
          <c:idx val="5"/>
          <c:order val="4"/>
          <c:tx>
            <c:strRef>
              <c:f>'Fig 1'!$A$6</c:f>
              <c:strCache>
                <c:ptCount val="1"/>
                <c:pt idx="0">
                  <c:v>2004-05</c:v>
                </c:pt>
              </c:strCache>
            </c:strRef>
          </c:tx>
          <c:spPr>
            <a:gradFill rotWithShape="1">
              <a:gsLst>
                <a:gs pos="0">
                  <a:srgbClr val="CC99FF"/>
                </a:gs>
                <a:gs pos="100000">
                  <a:srgbClr val="8665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1'!$B$1:$E$1</c:f>
              <c:strCache/>
            </c:strRef>
          </c:cat>
          <c:val>
            <c:numRef>
              <c:f>'Fig 1'!$B$6:$E$6</c:f>
              <c:numCache>
                <c:ptCount val="4"/>
                <c:pt idx="0">
                  <c:v>0</c:v>
                </c:pt>
                <c:pt idx="1">
                  <c:v>0</c:v>
                </c:pt>
                <c:pt idx="2">
                  <c:v>0</c:v>
                </c:pt>
                <c:pt idx="3">
                  <c:v>0</c:v>
                </c:pt>
              </c:numCache>
            </c:numRef>
          </c:val>
        </c:ser>
        <c:ser>
          <c:idx val="6"/>
          <c:order val="5"/>
          <c:tx>
            <c:strRef>
              <c:f>'Fig 1'!$A$7</c:f>
              <c:strCache>
                <c:ptCount val="1"/>
                <c:pt idx="0">
                  <c:v>2005-06</c:v>
                </c:pt>
              </c:strCache>
            </c:strRef>
          </c:tx>
          <c:spPr>
            <a:gradFill rotWithShape="1">
              <a:gsLst>
                <a:gs pos="0">
                  <a:srgbClr val="FFCC99"/>
                </a:gs>
                <a:gs pos="100000">
                  <a:srgbClr val="A8866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1'!$B$1:$E$1</c:f>
              <c:strCache/>
            </c:strRef>
          </c:cat>
          <c:val>
            <c:numRef>
              <c:f>'Fig 1'!$B$7:$E$7</c:f>
              <c:numCache>
                <c:ptCount val="4"/>
                <c:pt idx="0">
                  <c:v>0</c:v>
                </c:pt>
                <c:pt idx="1">
                  <c:v>0</c:v>
                </c:pt>
                <c:pt idx="2">
                  <c:v>0</c:v>
                </c:pt>
                <c:pt idx="3">
                  <c:v>0</c:v>
                </c:pt>
              </c:numCache>
            </c:numRef>
          </c:val>
        </c:ser>
        <c:ser>
          <c:idx val="7"/>
          <c:order val="6"/>
          <c:tx>
            <c:strRef>
              <c:f>'Fig 1'!$A$8</c:f>
              <c:strCache>
                <c:ptCount val="1"/>
                <c:pt idx="0">
                  <c:v>2006-07</c:v>
                </c:pt>
              </c:strCache>
            </c:strRef>
          </c:tx>
          <c:spPr>
            <a:gradFill rotWithShape="1">
              <a:gsLst>
                <a:gs pos="0">
                  <a:srgbClr val="FFFFCC"/>
                </a:gs>
                <a:gs pos="100000">
                  <a:srgbClr val="75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FFFFCC"/>
                  </a:gs>
                  <a:gs pos="100000">
                    <a:srgbClr val="75755E"/>
                  </a:gs>
                </a:gsLst>
                <a:lin ang="0" scaled="1"/>
              </a:gradFill>
            </c:spPr>
          </c:dPt>
          <c:dLbls>
            <c:dLbl>
              <c:idx val="1"/>
              <c:txPr>
                <a:bodyPr vert="horz" rot="0" anchor="ctr"/>
                <a:lstStyle/>
                <a:p>
                  <a:pPr algn="ctr">
                    <a:defRPr lang="en-US" cap="none" sz="55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1'!$B$1:$E$1</c:f>
              <c:strCache/>
            </c:strRef>
          </c:cat>
          <c:val>
            <c:numRef>
              <c:f>'Fig 1'!$B$8:$E$8</c:f>
              <c:numCache>
                <c:ptCount val="4"/>
                <c:pt idx="0">
                  <c:v>0</c:v>
                </c:pt>
                <c:pt idx="1">
                  <c:v>0</c:v>
                </c:pt>
                <c:pt idx="2">
                  <c:v>0</c:v>
                </c:pt>
                <c:pt idx="3">
                  <c:v>0</c:v>
                </c:pt>
              </c:numCache>
            </c:numRef>
          </c:val>
        </c:ser>
        <c:ser>
          <c:idx val="0"/>
          <c:order val="7"/>
          <c:tx>
            <c:strRef>
              <c:f>'Fig 1'!$A$9</c:f>
              <c:strCache>
                <c:ptCount val="1"/>
                <c:pt idx="0">
                  <c:v>2007-08</c:v>
                </c:pt>
              </c:strCache>
            </c:strRef>
          </c:tx>
          <c:spPr>
            <a:gradFill rotWithShape="1">
              <a:gsLst>
                <a:gs pos="0">
                  <a:srgbClr val="FF8080"/>
                </a:gs>
                <a:gs pos="100000">
                  <a:srgbClr val="75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val>
            <c:numRef>
              <c:f>'Fig 1'!$B$9:$E$9</c:f>
              <c:numCache>
                <c:ptCount val="4"/>
                <c:pt idx="0">
                  <c:v>0</c:v>
                </c:pt>
                <c:pt idx="1">
                  <c:v>0</c:v>
                </c:pt>
                <c:pt idx="2">
                  <c:v>0</c:v>
                </c:pt>
                <c:pt idx="3">
                  <c:v>0</c:v>
                </c:pt>
              </c:numCache>
            </c:numRef>
          </c:val>
        </c:ser>
        <c:overlap val="-20"/>
        <c:axId val="23526714"/>
        <c:axId val="10413835"/>
      </c:barChart>
      <c:catAx>
        <c:axId val="23526714"/>
        <c:scaling>
          <c:orientation val="minMax"/>
        </c:scaling>
        <c:axPos val="b"/>
        <c:title>
          <c:tx>
            <c:rich>
              <a:bodyPr vert="horz" rot="0" anchor="ctr"/>
              <a:lstStyle/>
              <a:p>
                <a:pPr algn="ctr">
                  <a:defRPr/>
                </a:pPr>
                <a:r>
                  <a:rPr lang="en-US" cap="none" sz="950" b="1" i="0" u="none" baseline="0">
                    <a:latin typeface="Arial"/>
                    <a:ea typeface="Arial"/>
                    <a:cs typeface="Arial"/>
                  </a:rPr>
                  <a:t>UO Faculty Rank</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0413835"/>
        <c:crosses val="autoZero"/>
        <c:auto val="1"/>
        <c:lblOffset val="100"/>
        <c:noMultiLvlLbl val="0"/>
      </c:catAx>
      <c:valAx>
        <c:axId val="10413835"/>
        <c:scaling>
          <c:orientation val="minMax"/>
          <c:max val="105"/>
          <c:min val="75"/>
        </c:scaling>
        <c:axPos val="l"/>
        <c:title>
          <c:tx>
            <c:rich>
              <a:bodyPr vert="horz" rot="-5400000" anchor="ctr"/>
              <a:lstStyle/>
              <a:p>
                <a:pPr algn="ctr">
                  <a:defRPr/>
                </a:pPr>
                <a:r>
                  <a:rPr lang="en-US" cap="none" sz="950" b="1" i="0" u="none" baseline="0">
                    <a:latin typeface="Arial"/>
                    <a:ea typeface="Arial"/>
                    <a:cs typeface="Arial"/>
                  </a:rPr>
                  <a:t>Total Compensation Compared to Peer Institutions (%)</a:t>
                </a:r>
              </a:p>
            </c:rich>
          </c:tx>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23526714"/>
        <c:crossesAt val="1"/>
        <c:crossBetween val="between"/>
        <c:dispUnits/>
      </c:valAx>
      <c:spPr>
        <a:noFill/>
        <a:ln>
          <a:noFill/>
        </a:ln>
      </c:spPr>
    </c:plotArea>
    <c:legend>
      <c:legendPos val="t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Figure 2</a:t>
            </a:r>
            <a:r>
              <a:rPr lang="en-US" cap="none" sz="1100" b="1" i="0" u="none" baseline="0">
                <a:latin typeface="Arial"/>
                <a:ea typeface="Arial"/>
                <a:cs typeface="Arial"/>
              </a:rPr>
              <a:t>
UO Faculty </a:t>
            </a:r>
            <a:r>
              <a:rPr lang="en-US" cap="none" sz="1100" b="1" i="0" u="sng" baseline="0">
                <a:latin typeface="Arial"/>
                <a:ea typeface="Arial"/>
                <a:cs typeface="Arial"/>
              </a:rPr>
              <a:t>Salaries</a:t>
            </a:r>
            <a:r>
              <a:rPr lang="en-US" cap="none" sz="1100" b="1" i="0" u="none" baseline="0">
                <a:latin typeface="Arial"/>
                <a:ea typeface="Arial"/>
                <a:cs typeface="Arial"/>
              </a:rPr>
              <a:t> Relative to Peer Institutions
2000-01 to 2006-07
</a:t>
            </a:r>
          </a:p>
        </c:rich>
      </c:tx>
      <c:layout/>
      <c:spPr>
        <a:noFill/>
        <a:ln>
          <a:noFill/>
        </a:ln>
      </c:spPr>
    </c:title>
    <c:plotArea>
      <c:layout>
        <c:manualLayout>
          <c:xMode val="edge"/>
          <c:yMode val="edge"/>
          <c:x val="0.0315"/>
          <c:y val="0.14375"/>
          <c:w val="0.801"/>
          <c:h val="0.7325"/>
        </c:manualLayout>
      </c:layout>
      <c:barChart>
        <c:barDir val="col"/>
        <c:grouping val="clustered"/>
        <c:varyColors val="0"/>
        <c:ser>
          <c:idx val="1"/>
          <c:order val="0"/>
          <c:tx>
            <c:strRef>
              <c:f>'Fig 2'!$A$2</c:f>
              <c:strCache>
                <c:ptCount val="1"/>
                <c:pt idx="0">
                  <c:v>2000-01</c:v>
                </c:pt>
              </c:strCache>
            </c:strRef>
          </c:tx>
          <c:spPr>
            <a:gradFill rotWithShape="1">
              <a:gsLst>
                <a:gs pos="0">
                  <a:srgbClr val="CCFFCC"/>
                </a:gs>
                <a:gs pos="100000">
                  <a:srgbClr val="86A886"/>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50" b="1"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2'!$B$1:$E$1</c:f>
              <c:strCache/>
            </c:strRef>
          </c:cat>
          <c:val>
            <c:numRef>
              <c:f>'Fig 2'!$B$2:$E$2</c:f>
              <c:numCache>
                <c:ptCount val="4"/>
                <c:pt idx="0">
                  <c:v>0</c:v>
                </c:pt>
                <c:pt idx="1">
                  <c:v>0</c:v>
                </c:pt>
                <c:pt idx="2">
                  <c:v>0</c:v>
                </c:pt>
                <c:pt idx="3">
                  <c:v>0</c:v>
                </c:pt>
              </c:numCache>
            </c:numRef>
          </c:val>
        </c:ser>
        <c:ser>
          <c:idx val="2"/>
          <c:order val="1"/>
          <c:tx>
            <c:strRef>
              <c:f>'Fig 2'!$A$3</c:f>
              <c:strCache>
                <c:ptCount val="1"/>
                <c:pt idx="0">
                  <c:v>2001-02</c:v>
                </c:pt>
              </c:strCache>
            </c:strRef>
          </c:tx>
          <c:spPr>
            <a:gradFill rotWithShape="1">
              <a:gsLst>
                <a:gs pos="0">
                  <a:srgbClr val="CCFFFF"/>
                </a:gs>
                <a:gs pos="100000">
                  <a:srgbClr val="86A8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2'!$B$1:$E$1</c:f>
              <c:strCache/>
            </c:strRef>
          </c:cat>
          <c:val>
            <c:numRef>
              <c:f>'Fig 2'!$B$3:$E$3</c:f>
              <c:numCache>
                <c:ptCount val="4"/>
                <c:pt idx="0">
                  <c:v>0</c:v>
                </c:pt>
                <c:pt idx="1">
                  <c:v>0</c:v>
                </c:pt>
                <c:pt idx="2">
                  <c:v>0</c:v>
                </c:pt>
                <c:pt idx="3">
                  <c:v>0</c:v>
                </c:pt>
              </c:numCache>
            </c:numRef>
          </c:val>
        </c:ser>
        <c:ser>
          <c:idx val="3"/>
          <c:order val="2"/>
          <c:tx>
            <c:strRef>
              <c:f>'Fig 2'!$A$4</c:f>
              <c:strCache>
                <c:ptCount val="1"/>
                <c:pt idx="0">
                  <c:v>2002-03</c:v>
                </c:pt>
              </c:strCache>
            </c:strRef>
          </c:tx>
          <c:spPr>
            <a:gradFill rotWithShape="1">
              <a:gsLst>
                <a:gs pos="0">
                  <a:srgbClr val="99CCFF"/>
                </a:gs>
                <a:gs pos="100000">
                  <a:srgbClr val="6586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2'!$B$1:$E$1</c:f>
              <c:strCache/>
            </c:strRef>
          </c:cat>
          <c:val>
            <c:numRef>
              <c:f>'Fig 2'!$B$4:$E$4</c:f>
              <c:numCache>
                <c:ptCount val="4"/>
                <c:pt idx="0">
                  <c:v>0</c:v>
                </c:pt>
                <c:pt idx="1">
                  <c:v>0</c:v>
                </c:pt>
                <c:pt idx="2">
                  <c:v>0</c:v>
                </c:pt>
                <c:pt idx="3">
                  <c:v>0</c:v>
                </c:pt>
              </c:numCache>
            </c:numRef>
          </c:val>
        </c:ser>
        <c:ser>
          <c:idx val="4"/>
          <c:order val="3"/>
          <c:tx>
            <c:strRef>
              <c:f>'Fig 2'!$A$5</c:f>
              <c:strCache>
                <c:ptCount val="1"/>
                <c:pt idx="0">
                  <c:v>2003-04</c:v>
                </c:pt>
              </c:strCache>
            </c:strRef>
          </c:tx>
          <c:spPr>
            <a:gradFill rotWithShape="1">
              <a:gsLst>
                <a:gs pos="0">
                  <a:srgbClr val="CCCCFF"/>
                </a:gs>
                <a:gs pos="100000">
                  <a:srgbClr val="8686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2'!$B$1:$E$1</c:f>
              <c:strCache/>
            </c:strRef>
          </c:cat>
          <c:val>
            <c:numRef>
              <c:f>'Fig 2'!$B$5:$E$5</c:f>
              <c:numCache>
                <c:ptCount val="4"/>
                <c:pt idx="0">
                  <c:v>0</c:v>
                </c:pt>
                <c:pt idx="1">
                  <c:v>0</c:v>
                </c:pt>
                <c:pt idx="2">
                  <c:v>0</c:v>
                </c:pt>
                <c:pt idx="3">
                  <c:v>0</c:v>
                </c:pt>
              </c:numCache>
            </c:numRef>
          </c:val>
        </c:ser>
        <c:ser>
          <c:idx val="5"/>
          <c:order val="4"/>
          <c:tx>
            <c:strRef>
              <c:f>'Fig 2'!$A$6</c:f>
              <c:strCache>
                <c:ptCount val="1"/>
                <c:pt idx="0">
                  <c:v>2004-05</c:v>
                </c:pt>
              </c:strCache>
            </c:strRef>
          </c:tx>
          <c:spPr>
            <a:gradFill rotWithShape="1">
              <a:gsLst>
                <a:gs pos="0">
                  <a:srgbClr val="CC99FF"/>
                </a:gs>
                <a:gs pos="100000">
                  <a:srgbClr val="8665A8"/>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2'!$B$1:$E$1</c:f>
              <c:strCache/>
            </c:strRef>
          </c:cat>
          <c:val>
            <c:numRef>
              <c:f>'Fig 2'!$B$6:$E$6</c:f>
              <c:numCache>
                <c:ptCount val="4"/>
                <c:pt idx="0">
                  <c:v>0</c:v>
                </c:pt>
                <c:pt idx="1">
                  <c:v>0</c:v>
                </c:pt>
                <c:pt idx="2">
                  <c:v>0</c:v>
                </c:pt>
                <c:pt idx="3">
                  <c:v>0</c:v>
                </c:pt>
              </c:numCache>
            </c:numRef>
          </c:val>
        </c:ser>
        <c:ser>
          <c:idx val="6"/>
          <c:order val="5"/>
          <c:tx>
            <c:strRef>
              <c:f>'Fig 2'!$A$7</c:f>
              <c:strCache>
                <c:ptCount val="1"/>
                <c:pt idx="0">
                  <c:v>2005-06</c:v>
                </c:pt>
              </c:strCache>
            </c:strRef>
          </c:tx>
          <c:spPr>
            <a:gradFill rotWithShape="1">
              <a:gsLst>
                <a:gs pos="0">
                  <a:srgbClr val="FFCC99"/>
                </a:gs>
                <a:gs pos="100000">
                  <a:srgbClr val="A8866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5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cat>
            <c:strRef>
              <c:f>'Fig 2'!$B$1:$E$1</c:f>
              <c:strCache/>
            </c:strRef>
          </c:cat>
          <c:val>
            <c:numRef>
              <c:f>'Fig 2'!$B$7:$E$7</c:f>
              <c:numCache>
                <c:ptCount val="4"/>
                <c:pt idx="0">
                  <c:v>0</c:v>
                </c:pt>
                <c:pt idx="1">
                  <c:v>0</c:v>
                </c:pt>
                <c:pt idx="2">
                  <c:v>0</c:v>
                </c:pt>
                <c:pt idx="3">
                  <c:v>0</c:v>
                </c:pt>
              </c:numCache>
            </c:numRef>
          </c:val>
        </c:ser>
        <c:ser>
          <c:idx val="7"/>
          <c:order val="6"/>
          <c:tx>
            <c:strRef>
              <c:f>'Fig 2'!$A$8</c:f>
              <c:strCache>
                <c:ptCount val="1"/>
                <c:pt idx="0">
                  <c:v>2006-07</c:v>
                </c:pt>
              </c:strCache>
            </c:strRef>
          </c:tx>
          <c:spPr>
            <a:gradFill rotWithShape="1">
              <a:gsLst>
                <a:gs pos="0">
                  <a:srgbClr val="FFFFCC"/>
                </a:gs>
                <a:gs pos="100000">
                  <a:srgbClr val="75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75" b="1" i="0" u="none" baseline="0">
                    <a:latin typeface="Arial"/>
                    <a:ea typeface="Arial"/>
                    <a:cs typeface="Arial"/>
                  </a:defRPr>
                </a:pPr>
              </a:p>
            </c:txPr>
            <c:showLegendKey val="0"/>
            <c:showVal val="1"/>
            <c:showBubbleSize val="0"/>
            <c:showCatName val="0"/>
            <c:showSerName val="0"/>
            <c:showPercent val="0"/>
          </c:dLbls>
          <c:cat>
            <c:strRef>
              <c:f>'Fig 2'!$B$1:$E$1</c:f>
              <c:strCache/>
            </c:strRef>
          </c:cat>
          <c:val>
            <c:numRef>
              <c:f>'Fig 2'!$B$8:$E$8</c:f>
              <c:numCache>
                <c:ptCount val="4"/>
                <c:pt idx="0">
                  <c:v>0</c:v>
                </c:pt>
                <c:pt idx="1">
                  <c:v>0</c:v>
                </c:pt>
                <c:pt idx="2">
                  <c:v>0</c:v>
                </c:pt>
                <c:pt idx="3">
                  <c:v>0</c:v>
                </c:pt>
              </c:numCache>
            </c:numRef>
          </c:val>
        </c:ser>
        <c:ser>
          <c:idx val="0"/>
          <c:order val="7"/>
          <c:tx>
            <c:strRef>
              <c:f>'Fig 2'!$A$9</c:f>
              <c:strCache>
                <c:ptCount val="1"/>
                <c:pt idx="0">
                  <c:v>2007-08</c:v>
                </c:pt>
              </c:strCache>
            </c:strRef>
          </c:tx>
          <c:spPr>
            <a:gradFill rotWithShape="1">
              <a:gsLst>
                <a:gs pos="0">
                  <a:srgbClr val="FF8080"/>
                </a:gs>
                <a:gs pos="100000">
                  <a:srgbClr val="75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50" b="1" i="0" u="none" baseline="0">
                    <a:latin typeface="Arial"/>
                    <a:ea typeface="Arial"/>
                    <a:cs typeface="Arial"/>
                  </a:defRPr>
                </a:pPr>
              </a:p>
            </c:txPr>
            <c:showLegendKey val="0"/>
            <c:showVal val="1"/>
            <c:showBubbleSize val="0"/>
            <c:showCatName val="0"/>
            <c:showSerName val="0"/>
            <c:showPercent val="0"/>
          </c:dLbls>
          <c:val>
            <c:numRef>
              <c:f>'Fig 2'!$B$9:$E$9</c:f>
              <c:numCache>
                <c:ptCount val="4"/>
                <c:pt idx="0">
                  <c:v>0</c:v>
                </c:pt>
                <c:pt idx="1">
                  <c:v>0</c:v>
                </c:pt>
                <c:pt idx="2">
                  <c:v>0</c:v>
                </c:pt>
                <c:pt idx="3">
                  <c:v>0</c:v>
                </c:pt>
              </c:numCache>
            </c:numRef>
          </c:val>
        </c:ser>
        <c:overlap val="-20"/>
        <c:axId val="26615652"/>
        <c:axId val="38214277"/>
      </c:barChart>
      <c:catAx>
        <c:axId val="26615652"/>
        <c:scaling>
          <c:orientation val="minMax"/>
        </c:scaling>
        <c:axPos val="b"/>
        <c:title>
          <c:tx>
            <c:rich>
              <a:bodyPr vert="horz" rot="0" anchor="ctr"/>
              <a:lstStyle/>
              <a:p>
                <a:pPr algn="ctr">
                  <a:defRPr/>
                </a:pPr>
                <a:r>
                  <a:rPr lang="en-US" cap="none" sz="925" b="1" i="0" u="none" baseline="0">
                    <a:latin typeface="Arial"/>
                    <a:ea typeface="Arial"/>
                    <a:cs typeface="Arial"/>
                  </a:rPr>
                  <a:t>UO Faculty Rank</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8214277"/>
        <c:crosses val="autoZero"/>
        <c:auto val="1"/>
        <c:lblOffset val="100"/>
        <c:noMultiLvlLbl val="0"/>
      </c:catAx>
      <c:valAx>
        <c:axId val="38214277"/>
        <c:scaling>
          <c:orientation val="minMax"/>
          <c:max val="100"/>
          <c:min val="75"/>
        </c:scaling>
        <c:axPos val="l"/>
        <c:title>
          <c:tx>
            <c:rich>
              <a:bodyPr vert="horz" rot="-5400000" anchor="ctr"/>
              <a:lstStyle/>
              <a:p>
                <a:pPr algn="ctr">
                  <a:defRPr/>
                </a:pPr>
                <a:r>
                  <a:rPr lang="en-US" cap="none" sz="925" b="1" i="0" u="none" baseline="0">
                    <a:latin typeface="Arial"/>
                    <a:ea typeface="Arial"/>
                    <a:cs typeface="Arial"/>
                  </a:rPr>
                  <a:t>Total Salary Compared to Peer Institutions (%)</a:t>
                </a:r>
              </a:p>
            </c:rich>
          </c:tx>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26615652"/>
        <c:crossesAt val="1"/>
        <c:crossBetween val="between"/>
        <c:dispUnits/>
      </c:valAx>
      <c:spPr>
        <a:noFill/>
        <a:ln>
          <a:noFill/>
        </a:ln>
      </c:spPr>
    </c:plotArea>
    <c:legend>
      <c:legendPos val="t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latin typeface="Arial"/>
                <a:ea typeface="Arial"/>
                <a:cs typeface="Arial"/>
              </a:rPr>
              <a:t>Figure 3</a:t>
            </a:r>
            <a:r>
              <a:rPr lang="en-US" cap="none" sz="1200" b="1" i="0" u="none" baseline="0">
                <a:latin typeface="Arial"/>
                <a:ea typeface="Arial"/>
                <a:cs typeface="Arial"/>
              </a:rPr>
              <a:t>
UO Instructors </a:t>
            </a:r>
            <a:r>
              <a:rPr lang="en-US" cap="none" sz="1200" b="1" i="0" u="sng" baseline="0">
                <a:latin typeface="Arial"/>
                <a:ea typeface="Arial"/>
                <a:cs typeface="Arial"/>
              </a:rPr>
              <a:t>Total Compensation</a:t>
            </a:r>
            <a:r>
              <a:rPr lang="en-US" cap="none" sz="1200" b="1" i="0" u="none" baseline="0">
                <a:latin typeface="Arial"/>
                <a:ea typeface="Arial"/>
                <a:cs typeface="Arial"/>
              </a:rPr>
              <a:t> Relative to Peer Institutions
2000-01 to 2006-07
</a:t>
            </a:r>
          </a:p>
        </c:rich>
      </c:tx>
      <c:layout/>
      <c:spPr>
        <a:noFill/>
        <a:ln>
          <a:noFill/>
        </a:ln>
      </c:spPr>
    </c:title>
    <c:plotArea>
      <c:layout>
        <c:manualLayout>
          <c:xMode val="edge"/>
          <c:yMode val="edge"/>
          <c:x val="0.06325"/>
          <c:y val="0.14825"/>
          <c:w val="0.77375"/>
          <c:h val="0.7425"/>
        </c:manualLayout>
      </c:layout>
      <c:barChart>
        <c:barDir val="col"/>
        <c:grouping val="clustered"/>
        <c:varyColors val="0"/>
        <c:ser>
          <c:idx val="2"/>
          <c:order val="0"/>
          <c:spPr>
            <a:gradFill rotWithShape="1">
              <a:gsLst>
                <a:gs pos="0">
                  <a:srgbClr val="FFFF99"/>
                </a:gs>
                <a:gs pos="100000">
                  <a:srgbClr val="A8A86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'Fig 3'!$A$1:$A$8</c:f>
              <c:strCache/>
            </c:strRef>
          </c:cat>
          <c:val>
            <c:numRef>
              <c:f>'Fig 3'!$B$1:$B$8</c:f>
              <c:numCache>
                <c:ptCount val="8"/>
                <c:pt idx="0">
                  <c:v>0</c:v>
                </c:pt>
                <c:pt idx="1">
                  <c:v>0</c:v>
                </c:pt>
                <c:pt idx="2">
                  <c:v>0</c:v>
                </c:pt>
                <c:pt idx="3">
                  <c:v>0</c:v>
                </c:pt>
                <c:pt idx="4">
                  <c:v>0</c:v>
                </c:pt>
                <c:pt idx="5">
                  <c:v>0</c:v>
                </c:pt>
                <c:pt idx="6">
                  <c:v>0</c:v>
                </c:pt>
                <c:pt idx="7">
                  <c:v>0</c:v>
                </c:pt>
              </c:numCache>
            </c:numRef>
          </c:val>
        </c:ser>
        <c:axId val="8384174"/>
        <c:axId val="8348703"/>
      </c:barChart>
      <c:catAx>
        <c:axId val="8384174"/>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8348703"/>
        <c:crosses val="autoZero"/>
        <c:auto val="1"/>
        <c:lblOffset val="100"/>
        <c:noMultiLvlLbl val="0"/>
      </c:catAx>
      <c:valAx>
        <c:axId val="8348703"/>
        <c:scaling>
          <c:orientation val="minMax"/>
          <c:max val="110"/>
          <c:min val="75"/>
        </c:scaling>
        <c:axPos val="l"/>
        <c:title>
          <c:tx>
            <c:rich>
              <a:bodyPr vert="horz" rot="-5400000" anchor="ctr"/>
              <a:lstStyle/>
              <a:p>
                <a:pPr algn="ctr">
                  <a:defRPr/>
                </a:pPr>
                <a:r>
                  <a:rPr lang="en-US" cap="none" sz="950" b="1" i="0" u="none" baseline="0">
                    <a:latin typeface="Arial"/>
                    <a:ea typeface="Arial"/>
                    <a:cs typeface="Arial"/>
                  </a:rPr>
                  <a:t>Total Compensation Compared to Peer Institutions (%)</a:t>
                </a:r>
              </a:p>
            </c:rich>
          </c:tx>
          <c:layout/>
          <c:overlay val="0"/>
          <c:spPr>
            <a:noFill/>
            <a:ln>
              <a:noFill/>
            </a:ln>
          </c:spPr>
        </c:title>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8384174"/>
        <c:crossesAt val="1"/>
        <c:crossBetween val="between"/>
        <c:dispUnits/>
        <c:majorUnit val="5"/>
        <c:minorUnit val="5"/>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0.772</cdr:y>
    </cdr:from>
    <cdr:to>
      <cdr:x>0.79425</cdr:x>
      <cdr:y>0.772</cdr:y>
    </cdr:to>
    <cdr:sp>
      <cdr:nvSpPr>
        <cdr:cNvPr id="1" name="Line 1"/>
        <cdr:cNvSpPr>
          <a:spLocks/>
        </cdr:cNvSpPr>
      </cdr:nvSpPr>
      <cdr:spPr>
        <a:xfrm>
          <a:off x="361950" y="0"/>
          <a:ext cx="46386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cdr:x>
      <cdr:y>0.76325</cdr:y>
    </cdr:from>
    <cdr:to>
      <cdr:x>0.5785</cdr:x>
      <cdr:y>0.77</cdr:y>
    </cdr:to>
    <cdr:sp>
      <cdr:nvSpPr>
        <cdr:cNvPr id="2" name="TextBox 2"/>
        <cdr:cNvSpPr txBox="1">
          <a:spLocks noChangeArrowheads="1"/>
        </cdr:cNvSpPr>
      </cdr:nvSpPr>
      <cdr:spPr>
        <a:xfrm>
          <a:off x="2162175" y="0"/>
          <a:ext cx="1485900" cy="0"/>
        </a:xfrm>
        <a:prstGeom prst="rect">
          <a:avLst/>
        </a:prstGeom>
        <a:noFill/>
        <a:ln w="9525" cmpd="sng">
          <a:noFill/>
        </a:ln>
      </cdr:spPr>
      <cdr:txBody>
        <a:bodyPr vertOverflow="clip" wrap="square"/>
        <a:p>
          <a:pPr algn="l">
            <a:defRPr/>
          </a:pPr>
          <a:r>
            <a:rPr lang="en-US" cap="none" sz="125" b="0" i="1" u="none" baseline="0">
              <a:latin typeface="Arial"/>
              <a:ea typeface="Arial"/>
              <a:cs typeface="Arial"/>
            </a:rPr>
            <a:t>White Paper Goal = 95% Parity</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cdr:x>
      <cdr:y>0.39125</cdr:y>
    </cdr:from>
    <cdr:to>
      <cdr:x>0.8445</cdr:x>
      <cdr:y>0.39125</cdr:y>
    </cdr:to>
    <cdr:sp>
      <cdr:nvSpPr>
        <cdr:cNvPr id="1" name="Line 1"/>
        <cdr:cNvSpPr>
          <a:spLocks/>
        </cdr:cNvSpPr>
      </cdr:nvSpPr>
      <cdr:spPr>
        <a:xfrm>
          <a:off x="762000" y="1933575"/>
          <a:ext cx="55530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0.12125</cdr:x>
      <cdr:y>0.32175</cdr:y>
    </cdr:from>
    <cdr:to>
      <cdr:x>0.3425</cdr:x>
      <cdr:y>0.36625</cdr:y>
    </cdr:to>
    <cdr:sp>
      <cdr:nvSpPr>
        <cdr:cNvPr id="2" name="TextBox 2"/>
        <cdr:cNvSpPr txBox="1">
          <a:spLocks noChangeArrowheads="1"/>
        </cdr:cNvSpPr>
      </cdr:nvSpPr>
      <cdr:spPr>
        <a:xfrm>
          <a:off x="904875" y="1590675"/>
          <a:ext cx="1657350" cy="219075"/>
        </a:xfrm>
        <a:prstGeom prst="rect">
          <a:avLst/>
        </a:prstGeom>
        <a:noFill/>
        <a:ln w="9525" cmpd="sng">
          <a:noFill/>
        </a:ln>
      </cdr:spPr>
      <cdr:txBody>
        <a:bodyPr vertOverflow="clip" wrap="square"/>
        <a:p>
          <a:pPr algn="l">
            <a:defRPr/>
          </a:pPr>
          <a:r>
            <a:rPr lang="en-US" cap="none" sz="850" b="0" i="1" u="none" baseline="0">
              <a:latin typeface="Arial"/>
              <a:ea typeface="Arial"/>
              <a:cs typeface="Arial"/>
            </a:rPr>
            <a:t>White Paper Goal = 95% Parity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0</xdr:row>
      <xdr:rowOff>0</xdr:rowOff>
    </xdr:from>
    <xdr:to>
      <xdr:col>14</xdr:col>
      <xdr:colOff>209550</xdr:colOff>
      <xdr:row>0</xdr:row>
      <xdr:rowOff>0</xdr:rowOff>
    </xdr:to>
    <xdr:graphicFrame>
      <xdr:nvGraphicFramePr>
        <xdr:cNvPr id="1" name="Chart 1"/>
        <xdr:cNvGraphicFramePr/>
      </xdr:nvGraphicFramePr>
      <xdr:xfrm>
        <a:off x="2000250" y="0"/>
        <a:ext cx="63055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12</xdr:col>
      <xdr:colOff>571500</xdr:colOff>
      <xdr:row>31</xdr:row>
      <xdr:rowOff>152400</xdr:rowOff>
    </xdr:to>
    <xdr:graphicFrame>
      <xdr:nvGraphicFramePr>
        <xdr:cNvPr id="2" name="Chart 2"/>
        <xdr:cNvGraphicFramePr/>
      </xdr:nvGraphicFramePr>
      <xdr:xfrm>
        <a:off x="0" y="0"/>
        <a:ext cx="7486650" cy="49530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0.29825</cdr:y>
    </cdr:from>
    <cdr:to>
      <cdr:x>0.8085</cdr:x>
      <cdr:y>0.29825</cdr:y>
    </cdr:to>
    <cdr:sp>
      <cdr:nvSpPr>
        <cdr:cNvPr id="1" name="Line 1"/>
        <cdr:cNvSpPr>
          <a:spLocks/>
        </cdr:cNvSpPr>
      </cdr:nvSpPr>
      <cdr:spPr>
        <a:xfrm>
          <a:off x="514350" y="1457325"/>
          <a:ext cx="552450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0.356</cdr:x>
      <cdr:y>0.24075</cdr:y>
    </cdr:from>
    <cdr:to>
      <cdr:x>0.593</cdr:x>
      <cdr:y>0.28525</cdr:y>
    </cdr:to>
    <cdr:sp>
      <cdr:nvSpPr>
        <cdr:cNvPr id="2" name="TextBox 2"/>
        <cdr:cNvSpPr txBox="1">
          <a:spLocks noChangeArrowheads="1"/>
        </cdr:cNvSpPr>
      </cdr:nvSpPr>
      <cdr:spPr>
        <a:xfrm>
          <a:off x="2657475" y="1171575"/>
          <a:ext cx="1771650" cy="219075"/>
        </a:xfrm>
        <a:prstGeom prst="rect">
          <a:avLst/>
        </a:prstGeom>
        <a:noFill/>
        <a:ln w="9525" cmpd="sng">
          <a:noFill/>
        </a:ln>
      </cdr:spPr>
      <cdr:txBody>
        <a:bodyPr vertOverflow="clip" wrap="square"/>
        <a:p>
          <a:pPr algn="l">
            <a:defRPr/>
          </a:pPr>
          <a:r>
            <a:rPr lang="en-US" cap="none" sz="850" b="0" i="1" u="none" baseline="0">
              <a:latin typeface="Arial"/>
              <a:ea typeface="Arial"/>
              <a:cs typeface="Arial"/>
            </a:rPr>
            <a:t>White Paper Goal = 95% Parity</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552450</xdr:colOff>
      <xdr:row>30</xdr:row>
      <xdr:rowOff>152400</xdr:rowOff>
    </xdr:to>
    <xdr:graphicFrame>
      <xdr:nvGraphicFramePr>
        <xdr:cNvPr id="1" name="Chart 1"/>
        <xdr:cNvGraphicFramePr/>
      </xdr:nvGraphicFramePr>
      <xdr:xfrm>
        <a:off x="0" y="9525"/>
        <a:ext cx="7467600" cy="4895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552450</xdr:colOff>
      <xdr:row>31</xdr:row>
      <xdr:rowOff>133350</xdr:rowOff>
    </xdr:to>
    <xdr:graphicFrame>
      <xdr:nvGraphicFramePr>
        <xdr:cNvPr id="1" name="Chart 1"/>
        <xdr:cNvGraphicFramePr/>
      </xdr:nvGraphicFramePr>
      <xdr:xfrm>
        <a:off x="0" y="0"/>
        <a:ext cx="746760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Q37"/>
  <sheetViews>
    <sheetView zoomScale="150" zoomScaleNormal="150" workbookViewId="0" topLeftCell="A1">
      <selection activeCell="A1" sqref="A1"/>
    </sheetView>
  </sheetViews>
  <sheetFormatPr defaultColWidth="9.14062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37</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7" ht="12">
      <c r="A5" s="5"/>
      <c r="B5" s="5" t="s">
        <v>50</v>
      </c>
      <c r="C5" s="10">
        <v>137</v>
      </c>
      <c r="D5" s="10">
        <v>89.1</v>
      </c>
      <c r="E5" s="10">
        <v>79.3</v>
      </c>
      <c r="F5" s="10" t="s">
        <v>52</v>
      </c>
      <c r="G5" s="11">
        <f>(C5*35+D5*30+E5*30)/95</f>
        <v>103.65263157894736</v>
      </c>
      <c r="H5" s="10" t="s">
        <v>52</v>
      </c>
      <c r="I5" s="1"/>
      <c r="J5" s="11">
        <v>165.7</v>
      </c>
      <c r="K5" s="11">
        <v>112.1</v>
      </c>
      <c r="L5" s="11">
        <v>100.7</v>
      </c>
      <c r="M5" s="11" t="s">
        <v>52</v>
      </c>
      <c r="N5" s="11">
        <f aca="true" t="shared" si="0" ref="N5:N12">(J5*35+K5*30+L5*30)/95</f>
        <v>128.24736842105264</v>
      </c>
      <c r="O5" s="10" t="s">
        <v>52</v>
      </c>
      <c r="Q5" s="42"/>
    </row>
    <row r="6" spans="1:17" ht="12">
      <c r="A6" s="5"/>
      <c r="B6" s="5" t="s">
        <v>51</v>
      </c>
      <c r="C6" s="10" t="s">
        <v>52</v>
      </c>
      <c r="D6" s="10" t="s">
        <v>52</v>
      </c>
      <c r="E6" s="10" t="s">
        <v>52</v>
      </c>
      <c r="F6" s="10" t="s">
        <v>52</v>
      </c>
      <c r="G6" s="11" t="s">
        <v>52</v>
      </c>
      <c r="H6" s="10" t="s">
        <v>52</v>
      </c>
      <c r="I6" s="1"/>
      <c r="J6" s="11" t="s">
        <v>52</v>
      </c>
      <c r="K6" s="11" t="s">
        <v>52</v>
      </c>
      <c r="L6" s="11" t="s">
        <v>52</v>
      </c>
      <c r="M6" s="11" t="s">
        <v>52</v>
      </c>
      <c r="N6" s="11" t="s">
        <v>52</v>
      </c>
      <c r="O6" s="10" t="s">
        <v>52</v>
      </c>
      <c r="Q6" s="42"/>
    </row>
    <row r="7" spans="1:17" ht="12">
      <c r="A7" s="5"/>
      <c r="B7" s="5" t="s">
        <v>53</v>
      </c>
      <c r="C7" s="10">
        <v>132.7</v>
      </c>
      <c r="D7" s="10">
        <v>91</v>
      </c>
      <c r="E7" s="10">
        <v>74.5</v>
      </c>
      <c r="F7" s="10">
        <v>52.9</v>
      </c>
      <c r="G7" s="11">
        <f aca="true" t="shared" si="1" ref="G7:G12">(C7*35+D7*30+E7*30)/95</f>
        <v>101.15263157894736</v>
      </c>
      <c r="H7" s="10">
        <f>(C7*35+D7*30+E7*30+F7*5)/100</f>
        <v>98.74</v>
      </c>
      <c r="I7" s="1"/>
      <c r="J7" s="11">
        <v>163.4</v>
      </c>
      <c r="K7" s="11">
        <v>115.7</v>
      </c>
      <c r="L7" s="11">
        <v>95.7</v>
      </c>
      <c r="M7" s="11">
        <v>68.6</v>
      </c>
      <c r="N7" s="11">
        <f t="shared" si="0"/>
        <v>126.9578947368421</v>
      </c>
      <c r="O7" s="10">
        <f>(J7*35+K7*30+L7*30+M7*5)/100</f>
        <v>124.04</v>
      </c>
      <c r="Q7" s="42"/>
    </row>
    <row r="8" spans="1:17" ht="12">
      <c r="A8" s="5"/>
      <c r="B8" s="5" t="s">
        <v>54</v>
      </c>
      <c r="C8" s="10">
        <v>118.1</v>
      </c>
      <c r="D8" s="10">
        <v>81</v>
      </c>
      <c r="E8" s="10">
        <v>69.6</v>
      </c>
      <c r="F8" s="10">
        <v>47</v>
      </c>
      <c r="G8" s="11">
        <f t="shared" si="1"/>
        <v>91.06842105263158</v>
      </c>
      <c r="H8" s="10">
        <f>(C8*35+D8*30+E8*30+F8*5)/100</f>
        <v>88.865</v>
      </c>
      <c r="I8" s="1"/>
      <c r="J8" s="11">
        <v>149.4</v>
      </c>
      <c r="K8" s="11">
        <v>103.5</v>
      </c>
      <c r="L8" s="11">
        <v>89.1</v>
      </c>
      <c r="M8" s="11">
        <v>60.4</v>
      </c>
      <c r="N8" s="11">
        <f t="shared" si="0"/>
        <v>115.86315789473684</v>
      </c>
      <c r="O8" s="10">
        <f>(J8*35+K8*30+L8*30+M8*5)/100</f>
        <v>113.09</v>
      </c>
      <c r="Q8" s="42"/>
    </row>
    <row r="9" spans="1:17" ht="12">
      <c r="A9" s="5"/>
      <c r="B9" s="5" t="s">
        <v>55</v>
      </c>
      <c r="C9" s="10">
        <v>138.5</v>
      </c>
      <c r="D9" s="10">
        <v>90.9</v>
      </c>
      <c r="E9" s="10">
        <v>76.9</v>
      </c>
      <c r="F9" s="10">
        <v>78.7</v>
      </c>
      <c r="G9" s="11">
        <f t="shared" si="1"/>
        <v>104.01578947368421</v>
      </c>
      <c r="H9" s="10">
        <f>(C9*35+D9*30+E9*30+F9*5)/100</f>
        <v>102.75</v>
      </c>
      <c r="I9" s="1"/>
      <c r="J9" s="11">
        <v>167.5</v>
      </c>
      <c r="K9" s="11">
        <v>113.1</v>
      </c>
      <c r="L9" s="11">
        <v>96.5</v>
      </c>
      <c r="M9" s="11">
        <v>98.3</v>
      </c>
      <c r="N9" s="11">
        <f t="shared" si="0"/>
        <v>127.9</v>
      </c>
      <c r="O9" s="10">
        <f>(J9*35+K9*30+L9*30+M9*5)/100</f>
        <v>126.42</v>
      </c>
      <c r="Q9" s="42"/>
    </row>
    <row r="10" spans="1:17" ht="12">
      <c r="A10" s="5"/>
      <c r="B10" s="5" t="s">
        <v>56</v>
      </c>
      <c r="C10" s="10">
        <v>114</v>
      </c>
      <c r="D10" s="10">
        <v>77.8</v>
      </c>
      <c r="E10" s="10">
        <v>68.4</v>
      </c>
      <c r="F10" s="10" t="s">
        <v>52</v>
      </c>
      <c r="G10" s="11">
        <f t="shared" si="1"/>
        <v>88.16842105263157</v>
      </c>
      <c r="H10" s="10" t="s">
        <v>52</v>
      </c>
      <c r="I10" s="1"/>
      <c r="J10" s="11">
        <v>143.8</v>
      </c>
      <c r="K10" s="11">
        <v>99.9</v>
      </c>
      <c r="L10" s="11">
        <v>86.8</v>
      </c>
      <c r="M10" s="11" t="s">
        <v>52</v>
      </c>
      <c r="N10" s="11">
        <f t="shared" si="0"/>
        <v>111.93684210526315</v>
      </c>
      <c r="O10" s="10" t="s">
        <v>52</v>
      </c>
      <c r="Q10" s="42"/>
    </row>
    <row r="11" spans="1:17" ht="12">
      <c r="A11" s="5"/>
      <c r="B11" s="5" t="s">
        <v>57</v>
      </c>
      <c r="C11" s="10">
        <v>116.4</v>
      </c>
      <c r="D11" s="10">
        <v>84.9</v>
      </c>
      <c r="E11" s="10">
        <v>72.3</v>
      </c>
      <c r="F11" s="10">
        <v>48</v>
      </c>
      <c r="G11" s="11">
        <f t="shared" si="1"/>
        <v>92.52631578947368</v>
      </c>
      <c r="H11" s="10">
        <f>(C11*35+D11*30+E11*30+F11*5)/100</f>
        <v>90.3</v>
      </c>
      <c r="I11" s="1"/>
      <c r="J11" s="11">
        <v>141.9</v>
      </c>
      <c r="K11" s="11">
        <v>105.6</v>
      </c>
      <c r="L11" s="11">
        <v>90.8</v>
      </c>
      <c r="M11" s="11">
        <v>62.2</v>
      </c>
      <c r="N11" s="11">
        <f t="shared" si="0"/>
        <v>114.3</v>
      </c>
      <c r="O11" s="10">
        <f>(J11*35+K11*30+L11*30+M11*5)/100</f>
        <v>111.695</v>
      </c>
      <c r="Q11" s="42"/>
    </row>
    <row r="12" spans="1:17" ht="12">
      <c r="A12" s="5"/>
      <c r="B12" s="5" t="s">
        <v>58</v>
      </c>
      <c r="C12" s="10">
        <v>116.4</v>
      </c>
      <c r="D12" s="10">
        <v>83.4</v>
      </c>
      <c r="E12" s="10">
        <v>73.9</v>
      </c>
      <c r="F12" s="10">
        <v>41.8</v>
      </c>
      <c r="G12" s="11">
        <f t="shared" si="1"/>
        <v>92.5578947368421</v>
      </c>
      <c r="H12" s="10">
        <f>(C12*35+D12*30+E12*30+F12*5)/100</f>
        <v>90.02</v>
      </c>
      <c r="I12" s="1"/>
      <c r="J12" s="11">
        <v>141.8</v>
      </c>
      <c r="K12" s="11">
        <v>102.7</v>
      </c>
      <c r="L12" s="11">
        <v>90.1</v>
      </c>
      <c r="M12" s="11">
        <v>54.5</v>
      </c>
      <c r="N12" s="11">
        <f t="shared" si="0"/>
        <v>113.12631578947368</v>
      </c>
      <c r="O12" s="10">
        <f>(J12*35+K12*30+L12*30+M12*5)/100</f>
        <v>110.195</v>
      </c>
      <c r="Q12" s="42"/>
    </row>
    <row r="13" spans="1:15" ht="12">
      <c r="A13" s="5"/>
      <c r="B13" s="5"/>
      <c r="C13" s="10"/>
      <c r="D13" s="10"/>
      <c r="E13" s="10"/>
      <c r="F13" s="10"/>
      <c r="G13" s="6"/>
      <c r="H13" s="10"/>
      <c r="I13" s="1"/>
      <c r="J13" s="6"/>
      <c r="K13" s="6"/>
      <c r="L13" s="6"/>
      <c r="M13" s="6"/>
      <c r="N13" s="6"/>
      <c r="O13" s="10"/>
    </row>
    <row r="14" spans="1:17" ht="12">
      <c r="A14" s="5"/>
      <c r="B14" s="5" t="s">
        <v>59</v>
      </c>
      <c r="C14" s="10">
        <f>AVERAGE(C5:C12)</f>
        <v>124.72857142857141</v>
      </c>
      <c r="D14" s="10">
        <f>AVERAGE(D5:D12)</f>
        <v>85.44285714285715</v>
      </c>
      <c r="E14" s="10">
        <f>AVERAGE(E5:E12)</f>
        <v>73.55714285714286</v>
      </c>
      <c r="F14" s="10">
        <f>AVERAGE(F5:F12)</f>
        <v>53.68000000000001</v>
      </c>
      <c r="G14" s="11">
        <f>(C14*35+D14*30+E14*30)/95</f>
        <v>96.16315789473684</v>
      </c>
      <c r="H14" s="10">
        <f>(C14*35+D14*30+E14*30+F14*5)/100</f>
        <v>94.039</v>
      </c>
      <c r="I14" s="1"/>
      <c r="J14" s="10">
        <f>AVERAGE(J5:J12)</f>
        <v>153.35714285714286</v>
      </c>
      <c r="K14" s="10">
        <f>AVERAGE(K5:K12)</f>
        <v>107.51428571428572</v>
      </c>
      <c r="L14" s="10">
        <f>AVERAGE(L5:L12)</f>
        <v>92.81428571428572</v>
      </c>
      <c r="M14" s="10">
        <f>AVERAGE(M5:M12)</f>
        <v>68.8</v>
      </c>
      <c r="N14" s="11">
        <f>(J14*35+K14*30+L14*30)/95</f>
        <v>119.76165413533836</v>
      </c>
      <c r="O14" s="10">
        <f>(J14*35+K14*30+L14*30+M14*5)/100</f>
        <v>117.21357142857146</v>
      </c>
      <c r="Q14" s="42"/>
    </row>
    <row r="15" spans="1:15" ht="12">
      <c r="A15" s="5"/>
      <c r="B15" s="5" t="s">
        <v>60</v>
      </c>
      <c r="C15" s="10">
        <f>Ratios!N16/Ratios!I14</f>
        <v>125.36445540116539</v>
      </c>
      <c r="D15" s="10">
        <f>Ratios!O16/Ratios!J14</f>
        <v>85.24769725098179</v>
      </c>
      <c r="E15" s="10">
        <f>Ratios!P16/Ratios!K14</f>
        <v>73.92104192104192</v>
      </c>
      <c r="F15" s="10">
        <f>Ratios!Q16/Ratios!L14</f>
        <v>48.08119658119658</v>
      </c>
      <c r="G15" s="11">
        <f>(C15*35+D15*30+E15*30)/95</f>
        <v>96.45071699159473</v>
      </c>
      <c r="H15" s="10">
        <f>(C15*35+D15*30+E15*30+F15*5)/100</f>
        <v>94.03224097107483</v>
      </c>
      <c r="I15" s="9"/>
      <c r="J15" s="11">
        <f>Ratios!S16/Ratios!I14</f>
        <v>153.86414164051996</v>
      </c>
      <c r="K15" s="11">
        <f>Ratios!T16/Ratios!J14</f>
        <v>107.23941449482327</v>
      </c>
      <c r="L15" s="11">
        <f>Ratios!U16/Ratios!K14</f>
        <v>93.24656084656084</v>
      </c>
      <c r="M15" s="11">
        <f>Ratios!V16/Ratios!L14</f>
        <v>62.22079772079772</v>
      </c>
      <c r="N15" s="11">
        <f>(J15*35+K15*30+L15*30)/95</f>
        <v>119.99814965957601</v>
      </c>
      <c r="O15" s="10">
        <f>(J15*35+K15*30+L15*30+M15*5)/100</f>
        <v>117.1092820626371</v>
      </c>
    </row>
    <row r="16" spans="1:15" ht="12">
      <c r="A16" s="5"/>
      <c r="B16" s="5"/>
      <c r="C16" s="10"/>
      <c r="D16" s="10"/>
      <c r="E16" s="10"/>
      <c r="F16" s="10"/>
      <c r="G16" s="11"/>
      <c r="H16" s="10"/>
      <c r="I16" s="9"/>
      <c r="J16" s="6"/>
      <c r="K16" s="6"/>
      <c r="L16" s="6"/>
      <c r="M16" s="6"/>
      <c r="N16" s="11"/>
      <c r="O16" s="10"/>
    </row>
    <row r="17" spans="1:15" ht="12">
      <c r="A17" s="5"/>
      <c r="B17" s="5" t="s">
        <v>61</v>
      </c>
      <c r="C17" s="10">
        <v>94.8</v>
      </c>
      <c r="D17" s="10">
        <v>67.5</v>
      </c>
      <c r="E17" s="10">
        <v>61.9</v>
      </c>
      <c r="F17" s="10">
        <v>43.2</v>
      </c>
      <c r="G17" s="11">
        <f>(C17*35+D17*30+E17*30)/95</f>
        <v>75.78947368421052</v>
      </c>
      <c r="H17" s="10">
        <f>(C17*35+D17*30+E17*30+F17*5)/100</f>
        <v>74.16</v>
      </c>
      <c r="I17" s="9"/>
      <c r="J17" s="6">
        <v>129.9</v>
      </c>
      <c r="K17" s="6">
        <v>96.5</v>
      </c>
      <c r="L17" s="11">
        <v>86.5</v>
      </c>
      <c r="M17" s="6">
        <v>65.4</v>
      </c>
      <c r="N17" s="11">
        <f>(J17*35+K17*30+L17*30)/95</f>
        <v>105.64736842105263</v>
      </c>
      <c r="O17" s="10">
        <f>(J17*35+K17*30+L17*30+M17*5)/100</f>
        <v>103.635</v>
      </c>
    </row>
    <row r="18" spans="1:15" ht="12">
      <c r="A18" s="5"/>
      <c r="B18" s="5" t="s">
        <v>38</v>
      </c>
      <c r="C18" s="10">
        <v>101.5</v>
      </c>
      <c r="D18" s="10">
        <v>71.2</v>
      </c>
      <c r="E18" s="10">
        <v>67.6</v>
      </c>
      <c r="F18" s="10">
        <v>45.1</v>
      </c>
      <c r="G18" s="11">
        <f>(C18*35+D18*30+E18*30)/95</f>
        <v>81.22631578947369</v>
      </c>
      <c r="H18" s="10">
        <f>(C18*35+D18*30+E18*30+F18*5)/100</f>
        <v>79.42</v>
      </c>
      <c r="I18" s="9"/>
      <c r="J18" s="6">
        <v>139.1</v>
      </c>
      <c r="K18" s="6">
        <v>101.8</v>
      </c>
      <c r="L18" s="11">
        <v>94.5</v>
      </c>
      <c r="M18" s="6">
        <v>68.3</v>
      </c>
      <c r="N18" s="11">
        <f>(J18*35+K18*30+L18*30)/95</f>
        <v>113.23684210526316</v>
      </c>
      <c r="O18" s="10">
        <f>(J18*35+K18*30+L18*30+M18*5)/100</f>
        <v>110.99</v>
      </c>
    </row>
    <row r="19" spans="1:15" ht="12">
      <c r="A19" s="5"/>
      <c r="B19" s="5" t="s">
        <v>39</v>
      </c>
      <c r="C19" s="3">
        <v>0.062</v>
      </c>
      <c r="D19" s="3">
        <v>0.066</v>
      </c>
      <c r="E19" s="3">
        <v>0.047</v>
      </c>
      <c r="F19" s="3">
        <v>0.047</v>
      </c>
      <c r="G19" s="11" t="s">
        <v>52</v>
      </c>
      <c r="H19" s="10" t="s">
        <v>52</v>
      </c>
      <c r="I19" s="9"/>
      <c r="J19" s="6" t="s">
        <v>52</v>
      </c>
      <c r="K19" s="6" t="s">
        <v>52</v>
      </c>
      <c r="L19" s="11" t="s">
        <v>52</v>
      </c>
      <c r="M19" s="6" t="s">
        <v>52</v>
      </c>
      <c r="N19" s="11" t="s">
        <v>52</v>
      </c>
      <c r="O19" s="10" t="s">
        <v>52</v>
      </c>
    </row>
    <row r="20" spans="1:15" ht="12">
      <c r="A20" s="5"/>
      <c r="B20" s="5"/>
      <c r="C20" s="10"/>
      <c r="D20" s="10"/>
      <c r="E20" s="10"/>
      <c r="F20" s="10"/>
      <c r="G20" s="6"/>
      <c r="H20" s="10"/>
      <c r="I20" s="9"/>
      <c r="J20" s="6"/>
      <c r="K20" s="6"/>
      <c r="L20" s="6"/>
      <c r="M20" s="6"/>
      <c r="N20" s="6"/>
      <c r="O20" s="6"/>
    </row>
    <row r="21" spans="1:15" ht="12">
      <c r="A21" s="5"/>
      <c r="B21" s="12" t="s">
        <v>62</v>
      </c>
      <c r="C21" s="2">
        <f aca="true" t="shared" si="2" ref="C21:H21">C18/C14</f>
        <v>0.8137670369946169</v>
      </c>
      <c r="D21" s="2">
        <f t="shared" si="2"/>
        <v>0.8333054673131582</v>
      </c>
      <c r="E21" s="2">
        <f t="shared" si="2"/>
        <v>0.9190134006603222</v>
      </c>
      <c r="F21" s="2">
        <f t="shared" si="2"/>
        <v>0.8401639344262294</v>
      </c>
      <c r="G21" s="2">
        <f t="shared" si="2"/>
        <v>0.8446718844069838</v>
      </c>
      <c r="H21" s="2">
        <f t="shared" si="2"/>
        <v>0.844543221429407</v>
      </c>
      <c r="I21" s="13"/>
      <c r="J21" s="2">
        <f aca="true" t="shared" si="3" ref="J21:O21">J18/J14</f>
        <v>0.9070330693991615</v>
      </c>
      <c r="K21" s="2">
        <f t="shared" si="3"/>
        <v>0.9468509168216848</v>
      </c>
      <c r="L21" s="2">
        <f t="shared" si="3"/>
        <v>1.0181622287209482</v>
      </c>
      <c r="M21" s="2">
        <f t="shared" si="3"/>
        <v>0.9927325581395349</v>
      </c>
      <c r="N21" s="2">
        <f t="shared" si="3"/>
        <v>0.94551835412442</v>
      </c>
      <c r="O21" s="2">
        <f t="shared" si="3"/>
        <v>0.9469040030713164</v>
      </c>
    </row>
    <row r="22" spans="1:15" ht="12">
      <c r="A22" s="5"/>
      <c r="B22" s="5"/>
      <c r="C22" s="10"/>
      <c r="D22" s="10"/>
      <c r="E22" s="10"/>
      <c r="F22" s="10"/>
      <c r="G22" s="6"/>
      <c r="H22" s="6"/>
      <c r="I22" s="9"/>
      <c r="J22" s="6"/>
      <c r="K22" s="6"/>
      <c r="L22" s="6"/>
      <c r="M22" s="6"/>
      <c r="N22" s="6"/>
      <c r="O22" s="14"/>
    </row>
    <row r="23" spans="1:15" ht="12">
      <c r="A23" s="5"/>
      <c r="B23" s="5" t="s">
        <v>63</v>
      </c>
      <c r="C23" s="3">
        <f>'2006-07'!C21</f>
        <v>0.8119275825346114</v>
      </c>
      <c r="D23" s="3">
        <f>'2006-07'!D21</f>
        <v>0.8355222013758599</v>
      </c>
      <c r="E23" s="3">
        <f>'2006-07'!E21</f>
        <v>0.9133801548712408</v>
      </c>
      <c r="F23" s="3">
        <f>'2006-07'!F21</f>
        <v>0.8927843456991438</v>
      </c>
      <c r="G23" s="3">
        <f>'2006-07'!G21</f>
        <v>0.8431132844335779</v>
      </c>
      <c r="H23" s="3">
        <f>'2006-07'!H21</f>
        <v>0.8444924895011491</v>
      </c>
      <c r="I23" s="4"/>
      <c r="J23" s="3">
        <f>'2006-07'!J21</f>
        <v>0.9117318435754189</v>
      </c>
      <c r="K23" s="3">
        <f>'2006-07'!K21</f>
        <v>0.9597232517914502</v>
      </c>
      <c r="L23" s="3">
        <f>'2006-07'!L21</f>
        <v>1.038046564452016</v>
      </c>
      <c r="M23" s="3">
        <f>'2006-07'!M21</f>
        <v>1.0652591170825334</v>
      </c>
      <c r="N23" s="3">
        <f>'2006-07'!N21</f>
        <v>0.9562496734833664</v>
      </c>
      <c r="O23" s="3">
        <f>'2006-07'!O21</f>
        <v>0.9593252502050491</v>
      </c>
    </row>
    <row r="24" spans="1:15" ht="12">
      <c r="A24" s="5"/>
      <c r="B24" s="5"/>
      <c r="C24" s="10"/>
      <c r="D24" s="10"/>
      <c r="E24" s="10"/>
      <c r="F24" s="6"/>
      <c r="G24" s="6"/>
      <c r="H24" s="6"/>
      <c r="I24" s="9"/>
      <c r="J24" s="6"/>
      <c r="K24" s="6"/>
      <c r="L24" s="6"/>
      <c r="M24" s="6"/>
      <c r="N24" s="6"/>
      <c r="O24" s="14"/>
    </row>
    <row r="25" spans="1:15" ht="12">
      <c r="A25" s="5"/>
      <c r="B25" s="5" t="s">
        <v>64</v>
      </c>
      <c r="C25" s="14">
        <f aca="true" t="shared" si="4" ref="C25:H25">C21-C23</f>
        <v>0.0018394544600055518</v>
      </c>
      <c r="D25" s="14">
        <f t="shared" si="4"/>
        <v>-0.0022167340627016197</v>
      </c>
      <c r="E25" s="14">
        <f t="shared" si="4"/>
        <v>0.00563324578908142</v>
      </c>
      <c r="F25" s="14">
        <f t="shared" si="4"/>
        <v>-0.05262041127291439</v>
      </c>
      <c r="G25" s="14">
        <f t="shared" si="4"/>
        <v>0.0015585999734059053</v>
      </c>
      <c r="H25" s="14">
        <f t="shared" si="4"/>
        <v>5.073192825788553E-05</v>
      </c>
      <c r="I25" s="9"/>
      <c r="J25" s="14">
        <f aca="true" t="shared" si="5" ref="J25:O25">J21-J23</f>
        <v>-0.004698774176257414</v>
      </c>
      <c r="K25" s="14">
        <f t="shared" si="5"/>
        <v>-0.012872334969765475</v>
      </c>
      <c r="L25" s="14">
        <f t="shared" si="5"/>
        <v>-0.019884335731067848</v>
      </c>
      <c r="M25" s="14">
        <f t="shared" si="5"/>
        <v>-0.07252655894299853</v>
      </c>
      <c r="N25" s="14">
        <f t="shared" si="5"/>
        <v>-0.010731319358946445</v>
      </c>
      <c r="O25" s="14">
        <f t="shared" si="5"/>
        <v>-0.012421247133732716</v>
      </c>
    </row>
    <row r="26" spans="1:15" ht="12">
      <c r="A26" s="5"/>
      <c r="B26" s="5"/>
      <c r="C26" s="6"/>
      <c r="D26" s="6"/>
      <c r="E26" s="6"/>
      <c r="F26" s="6"/>
      <c r="G26" s="6"/>
      <c r="H26" s="6"/>
      <c r="I26" s="9"/>
      <c r="J26" s="6"/>
      <c r="K26" s="6"/>
      <c r="L26" s="6"/>
      <c r="M26" s="6"/>
      <c r="N26" s="6"/>
      <c r="O26" s="6"/>
    </row>
    <row r="27" spans="1:15" ht="12">
      <c r="A27" s="15"/>
      <c r="B27" s="15" t="s">
        <v>65</v>
      </c>
      <c r="C27" s="15"/>
      <c r="D27" s="15"/>
      <c r="E27" s="15"/>
      <c r="F27" s="15"/>
      <c r="G27" s="15"/>
      <c r="H27" s="15"/>
      <c r="I27" s="15"/>
      <c r="J27" s="15"/>
      <c r="K27" s="15"/>
      <c r="L27" s="15"/>
      <c r="M27" s="15"/>
      <c r="N27" s="15"/>
      <c r="O27" s="15"/>
    </row>
    <row r="28" spans="1:15" ht="12">
      <c r="A28" s="15"/>
      <c r="B28" s="15" t="s">
        <v>66</v>
      </c>
      <c r="C28" s="16"/>
      <c r="D28" s="16"/>
      <c r="E28" s="16"/>
      <c r="F28" s="16"/>
      <c r="G28" s="16"/>
      <c r="H28" s="16"/>
      <c r="I28" s="16"/>
      <c r="J28" s="16"/>
      <c r="K28" s="16"/>
      <c r="L28" s="16"/>
      <c r="M28" s="16"/>
      <c r="N28" s="16"/>
      <c r="O28" s="16"/>
    </row>
    <row r="29" spans="1:15" ht="34.5" customHeight="1">
      <c r="A29" s="15"/>
      <c r="B29" s="43" t="s">
        <v>67</v>
      </c>
      <c r="C29" s="43"/>
      <c r="D29" s="43"/>
      <c r="E29" s="43"/>
      <c r="F29" s="43"/>
      <c r="G29" s="43"/>
      <c r="H29" s="43"/>
      <c r="I29" s="43"/>
      <c r="J29" s="43"/>
      <c r="K29" s="43"/>
      <c r="L29" s="43"/>
      <c r="M29" s="43"/>
      <c r="N29" s="43"/>
      <c r="O29" s="43"/>
    </row>
    <row r="30" spans="1:15" ht="12">
      <c r="A30" s="15"/>
      <c r="B30" s="15" t="s">
        <v>0</v>
      </c>
      <c r="C30" s="16"/>
      <c r="D30" s="16"/>
      <c r="E30" s="16"/>
      <c r="F30" s="16"/>
      <c r="G30" s="16"/>
      <c r="H30" s="16"/>
      <c r="I30" s="16"/>
      <c r="J30" s="16"/>
      <c r="K30" s="16"/>
      <c r="L30" s="16"/>
      <c r="M30" s="16"/>
      <c r="N30" s="16"/>
      <c r="O30" s="16"/>
    </row>
    <row r="31" spans="1:15" ht="12">
      <c r="A31" s="15"/>
      <c r="B31" s="15" t="s">
        <v>32</v>
      </c>
      <c r="C31" s="16"/>
      <c r="D31" s="16"/>
      <c r="E31" s="16"/>
      <c r="F31" s="16"/>
      <c r="G31" s="16"/>
      <c r="H31" s="16"/>
      <c r="I31" s="16"/>
      <c r="J31" s="16"/>
      <c r="K31" s="16"/>
      <c r="L31" s="16"/>
      <c r="M31" s="16"/>
      <c r="N31" s="16"/>
      <c r="O31" s="16"/>
    </row>
    <row r="32" ht="12">
      <c r="D32" s="41"/>
    </row>
    <row r="34" spans="4:7" ht="12">
      <c r="D34" s="40"/>
      <c r="E34" s="40"/>
      <c r="F34" s="40"/>
      <c r="G34" s="40"/>
    </row>
    <row r="35" spans="4:7" ht="12">
      <c r="D35" s="40"/>
      <c r="E35" s="40"/>
      <c r="F35" s="40"/>
      <c r="G35" s="40"/>
    </row>
    <row r="37" spans="3:6" ht="12">
      <c r="C37" s="30"/>
      <c r="D37" s="30"/>
      <c r="E37" s="30"/>
      <c r="F37" s="30"/>
    </row>
  </sheetData>
  <mergeCells count="5">
    <mergeCell ref="B29:O29"/>
    <mergeCell ref="C1:H1"/>
    <mergeCell ref="J1:O1"/>
    <mergeCell ref="C2:H2"/>
    <mergeCell ref="J2:O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30"/>
  <sheetViews>
    <sheetView zoomScale="150" zoomScaleNormal="150" workbookViewId="0" topLeftCell="A1">
      <selection activeCell="F15" sqref="F15"/>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4</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108.9</v>
      </c>
      <c r="D5" s="10">
        <v>76.3</v>
      </c>
      <c r="E5" s="10">
        <v>61.7</v>
      </c>
      <c r="F5" s="10">
        <v>54.2</v>
      </c>
      <c r="G5" s="11">
        <f aca="true" t="shared" si="0" ref="G5:G12">(C5*35+D5*30+E5*30)/95</f>
        <v>83.7</v>
      </c>
      <c r="H5" s="10">
        <f>(C5*35+D5*30+E5*30+F5*5)/100</f>
        <v>82.225</v>
      </c>
      <c r="I5" s="1"/>
      <c r="J5" s="11">
        <v>133.3</v>
      </c>
      <c r="K5" s="11">
        <v>96.6</v>
      </c>
      <c r="L5" s="11">
        <v>79.6</v>
      </c>
      <c r="M5" s="11">
        <v>70.6</v>
      </c>
      <c r="N5" s="11">
        <f aca="true" t="shared" si="1" ref="N5:N12">(J5*35+K5*30+L5*30)/95</f>
        <v>104.75263157894737</v>
      </c>
      <c r="O5" s="10">
        <f>(J5*35+K5*30+L5*30+M5*5)/100</f>
        <v>103.045</v>
      </c>
    </row>
    <row r="6" spans="1:15" ht="12">
      <c r="A6" s="5"/>
      <c r="B6" s="5" t="s">
        <v>51</v>
      </c>
      <c r="C6" s="10">
        <v>104.9</v>
      </c>
      <c r="D6" s="10">
        <v>65.5</v>
      </c>
      <c r="E6" s="10">
        <v>57.6</v>
      </c>
      <c r="F6" s="10" t="s">
        <v>52</v>
      </c>
      <c r="G6" s="11">
        <f t="shared" si="0"/>
        <v>77.52105263157895</v>
      </c>
      <c r="H6" s="10" t="s">
        <v>52</v>
      </c>
      <c r="I6" s="1"/>
      <c r="J6" s="11">
        <v>135</v>
      </c>
      <c r="K6" s="11">
        <v>84.3</v>
      </c>
      <c r="L6" s="11">
        <v>74.1</v>
      </c>
      <c r="M6" s="11" t="s">
        <v>52</v>
      </c>
      <c r="N6" s="11">
        <f t="shared" si="1"/>
        <v>99.7578947368421</v>
      </c>
      <c r="O6" s="10" t="s">
        <v>52</v>
      </c>
    </row>
    <row r="7" spans="1:15" ht="12">
      <c r="A7" s="5"/>
      <c r="B7" s="5" t="s">
        <v>53</v>
      </c>
      <c r="C7" s="10">
        <v>107.6</v>
      </c>
      <c r="D7" s="10">
        <v>71.2</v>
      </c>
      <c r="E7" s="10">
        <v>56.8</v>
      </c>
      <c r="F7" s="10">
        <v>43.8</v>
      </c>
      <c r="G7" s="11">
        <f t="shared" si="0"/>
        <v>80.06315789473685</v>
      </c>
      <c r="H7" s="10">
        <f>(C7*35+D7*30+E7*30+F7*5)/100</f>
        <v>78.25</v>
      </c>
      <c r="I7" s="1"/>
      <c r="J7" s="11">
        <v>130</v>
      </c>
      <c r="K7" s="11">
        <v>88.3</v>
      </c>
      <c r="L7" s="11">
        <v>70.3</v>
      </c>
      <c r="M7" s="11">
        <v>54.6</v>
      </c>
      <c r="N7" s="11">
        <f t="shared" si="1"/>
        <v>97.97894736842105</v>
      </c>
      <c r="O7" s="10">
        <f>(J7*35+K7*30+L7*30+M7*5)/100</f>
        <v>95.81</v>
      </c>
    </row>
    <row r="8" spans="1:15" ht="12">
      <c r="A8" s="5"/>
      <c r="B8" s="5" t="s">
        <v>54</v>
      </c>
      <c r="C8" s="10">
        <v>97.1</v>
      </c>
      <c r="D8" s="10">
        <v>63.7</v>
      </c>
      <c r="E8" s="10">
        <v>56.1</v>
      </c>
      <c r="F8" s="10" t="s">
        <v>52</v>
      </c>
      <c r="G8" s="11">
        <f t="shared" si="0"/>
        <v>73.60526315789474</v>
      </c>
      <c r="H8" s="10" t="s">
        <v>52</v>
      </c>
      <c r="I8" s="1"/>
      <c r="J8" s="11">
        <v>120</v>
      </c>
      <c r="K8" s="11">
        <v>81.1</v>
      </c>
      <c r="L8" s="11">
        <v>72.1</v>
      </c>
      <c r="M8" s="11" t="s">
        <v>52</v>
      </c>
      <c r="N8" s="11">
        <f t="shared" si="1"/>
        <v>92.58947368421053</v>
      </c>
      <c r="O8" s="10" t="s">
        <v>52</v>
      </c>
    </row>
    <row r="9" spans="1:15" ht="12">
      <c r="A9" s="5"/>
      <c r="B9" s="5" t="s">
        <v>55</v>
      </c>
      <c r="C9" s="10">
        <v>103.4</v>
      </c>
      <c r="D9" s="10">
        <v>72.2</v>
      </c>
      <c r="E9" s="10">
        <v>60.3</v>
      </c>
      <c r="F9" s="10">
        <v>61.7</v>
      </c>
      <c r="G9" s="11">
        <f t="shared" si="0"/>
        <v>79.93684210526315</v>
      </c>
      <c r="H9" s="10">
        <f>(C9*35+D9*30+E9*30+F9*5)/100</f>
        <v>79.025</v>
      </c>
      <c r="I9" s="1"/>
      <c r="J9" s="11">
        <v>121.8</v>
      </c>
      <c r="K9" s="11">
        <v>87</v>
      </c>
      <c r="L9" s="11">
        <v>73.4</v>
      </c>
      <c r="M9" s="11">
        <v>73</v>
      </c>
      <c r="N9" s="11">
        <f t="shared" si="1"/>
        <v>95.52631578947368</v>
      </c>
      <c r="O9" s="10">
        <f>(J9*35+K9*30+L9*30+M9*5)/100</f>
        <v>94.4</v>
      </c>
    </row>
    <row r="10" spans="1:15" ht="12">
      <c r="A10" s="5"/>
      <c r="B10" s="5" t="s">
        <v>56</v>
      </c>
      <c r="C10" s="10">
        <v>94.2</v>
      </c>
      <c r="D10" s="10">
        <v>64</v>
      </c>
      <c r="E10" s="10">
        <v>55.3</v>
      </c>
      <c r="F10" s="10" t="s">
        <v>52</v>
      </c>
      <c r="G10" s="11">
        <f t="shared" si="0"/>
        <v>72.37894736842105</v>
      </c>
      <c r="H10" s="10" t="s">
        <v>52</v>
      </c>
      <c r="I10" s="1"/>
      <c r="J10" s="11">
        <v>118.1</v>
      </c>
      <c r="K10" s="11">
        <v>81.7</v>
      </c>
      <c r="L10" s="11">
        <v>69.4</v>
      </c>
      <c r="M10" s="11" t="s">
        <v>52</v>
      </c>
      <c r="N10" s="11">
        <f t="shared" si="1"/>
        <v>91.22631578947369</v>
      </c>
      <c r="O10" s="10" t="s">
        <v>52</v>
      </c>
    </row>
    <row r="11" spans="1:15" ht="12">
      <c r="A11" s="5"/>
      <c r="B11" s="5" t="s">
        <v>57</v>
      </c>
      <c r="C11" s="10">
        <v>89.7</v>
      </c>
      <c r="D11" s="10">
        <v>65.4</v>
      </c>
      <c r="E11" s="10">
        <v>55.3</v>
      </c>
      <c r="F11" s="10">
        <v>42.5</v>
      </c>
      <c r="G11" s="11">
        <f t="shared" si="0"/>
        <v>71.16315789473684</v>
      </c>
      <c r="H11" s="10">
        <f>(C11*35+D11*30+E11*30+F11*5)/100</f>
        <v>69.73</v>
      </c>
      <c r="I11" s="1"/>
      <c r="J11" s="11">
        <v>106.8</v>
      </c>
      <c r="K11" s="11">
        <v>79.1</v>
      </c>
      <c r="L11" s="11">
        <v>67.2</v>
      </c>
      <c r="M11" s="11">
        <v>52.4</v>
      </c>
      <c r="N11" s="11">
        <f t="shared" si="1"/>
        <v>85.54736842105264</v>
      </c>
      <c r="O11" s="10">
        <f>(J11*35+K11*30+L11*30+M11*5)/100</f>
        <v>83.89</v>
      </c>
    </row>
    <row r="12" spans="1:15" ht="12">
      <c r="A12" s="5"/>
      <c r="B12" s="5" t="s">
        <v>58</v>
      </c>
      <c r="C12" s="10">
        <v>90.1</v>
      </c>
      <c r="D12" s="10">
        <v>62.5</v>
      </c>
      <c r="E12" s="10">
        <v>58.3</v>
      </c>
      <c r="F12" s="10">
        <v>42.1</v>
      </c>
      <c r="G12" s="11">
        <f t="shared" si="0"/>
        <v>71.34210526315789</v>
      </c>
      <c r="H12" s="10">
        <f>(C12*35+D12*30+E12*30+F12*5)/100</f>
        <v>69.88</v>
      </c>
      <c r="I12" s="1"/>
      <c r="J12" s="11">
        <v>109.7</v>
      </c>
      <c r="K12" s="11">
        <v>80.9</v>
      </c>
      <c r="L12" s="11">
        <v>70.5</v>
      </c>
      <c r="M12" s="11">
        <v>52.3</v>
      </c>
      <c r="N12" s="11">
        <f t="shared" si="1"/>
        <v>88.22631578947369</v>
      </c>
      <c r="O12" s="10">
        <f>(J12*35+K12*30+L12*30+M12*5)/100</f>
        <v>86.43</v>
      </c>
    </row>
    <row r="13" spans="1:15" ht="12">
      <c r="A13" s="5"/>
      <c r="B13" s="5"/>
      <c r="C13" s="10"/>
      <c r="D13" s="10"/>
      <c r="E13" s="10"/>
      <c r="F13" s="10"/>
      <c r="G13" s="6"/>
      <c r="H13" s="10"/>
      <c r="I13" s="1"/>
      <c r="J13" s="6"/>
      <c r="K13" s="6"/>
      <c r="L13" s="6"/>
      <c r="M13" s="6"/>
      <c r="N13" s="6"/>
      <c r="O13" s="10"/>
    </row>
    <row r="14" spans="1:15" ht="12">
      <c r="A14" s="5"/>
      <c r="B14" s="5" t="s">
        <v>59</v>
      </c>
      <c r="C14" s="10">
        <f>AVERAGE(C5:C12)</f>
        <v>99.48750000000001</v>
      </c>
      <c r="D14" s="10">
        <f>AVERAGE(D5:D12)</f>
        <v>67.6</v>
      </c>
      <c r="E14" s="10">
        <f>AVERAGE(E5:E12)</f>
        <v>57.675000000000004</v>
      </c>
      <c r="F14" s="10">
        <f>AVERAGE(F5:F12)</f>
        <v>48.86</v>
      </c>
      <c r="G14" s="11">
        <f>(C14*35+D14*30+E14*30)/95</f>
        <v>76.21381578947368</v>
      </c>
      <c r="H14" s="10">
        <f>(C14*35+D14*30+E14*30+F14*5)/100</f>
        <v>74.846125</v>
      </c>
      <c r="I14" s="1"/>
      <c r="J14" s="10">
        <f>AVERAGE(J5:J12)</f>
        <v>121.83749999999999</v>
      </c>
      <c r="K14" s="10">
        <f>AVERAGE(K5:K12)</f>
        <v>84.875</v>
      </c>
      <c r="L14" s="10">
        <f>AVERAGE(L5:L12)</f>
        <v>72.07499999999999</v>
      </c>
      <c r="M14" s="10">
        <f>AVERAGE(M5:M12)</f>
        <v>60.58</v>
      </c>
      <c r="N14" s="11">
        <f>(J14*35+K14*30+L14*30)/95</f>
        <v>94.45065789473684</v>
      </c>
      <c r="O14" s="10">
        <f>(J14*35+K14*30+L14*30+M14*5)/100</f>
        <v>92.757125</v>
      </c>
    </row>
    <row r="15" spans="1:15" ht="12">
      <c r="A15" s="5"/>
      <c r="B15" s="5" t="s">
        <v>60</v>
      </c>
      <c r="C15" s="10">
        <f>Ratios!N112/Ratios!I110</f>
        <v>99.44289000418236</v>
      </c>
      <c r="D15" s="10">
        <f>Ratios!O112/Ratios!J110</f>
        <v>67.63638877913868</v>
      </c>
      <c r="E15" s="10">
        <f>Ratios!P112/Ratios!K110</f>
        <v>58.24863656683057</v>
      </c>
      <c r="F15" s="10">
        <f>Ratios!Q112/Ratios!L110</f>
        <v>44.0476439790576</v>
      </c>
      <c r="G15" s="11">
        <f>(C15*35+D15*30+E15*30)/95</f>
        <v>76.39002011079432</v>
      </c>
      <c r="H15" s="10">
        <f>(C15*35+D15*30+E15*30+F15*5)/100</f>
        <v>74.7729013042075</v>
      </c>
      <c r="I15" s="9"/>
      <c r="J15" s="11">
        <f>Ratios!S112/Ratios!I110</f>
        <v>121.76434546214972</v>
      </c>
      <c r="K15" s="11">
        <f>Ratios!T112/Ratios!J110</f>
        <v>85.13105491900436</v>
      </c>
      <c r="L15" s="11">
        <f>Ratios!U112/Ratios!K110</f>
        <v>72.95279392042914</v>
      </c>
      <c r="M15" s="11">
        <f>Ratios!V112/Ratios!L110</f>
        <v>54.45183246073298</v>
      </c>
      <c r="N15" s="11">
        <f>(J15*35+K15*30+L15*30)/95</f>
        <v>94.78176375113942</v>
      </c>
      <c r="O15" s="10">
        <f>(J15*35+K15*30+L15*30+M15*5)/100</f>
        <v>92.7652671866191</v>
      </c>
    </row>
    <row r="16" spans="1:15" ht="12">
      <c r="A16" s="5"/>
      <c r="B16" s="5"/>
      <c r="C16" s="10"/>
      <c r="D16" s="10"/>
      <c r="E16" s="10"/>
      <c r="F16" s="10"/>
      <c r="G16" s="11"/>
      <c r="H16" s="10"/>
      <c r="I16" s="9"/>
      <c r="J16" s="6"/>
      <c r="K16" s="6"/>
      <c r="L16" s="6"/>
      <c r="M16" s="6"/>
      <c r="N16" s="11"/>
      <c r="O16" s="10"/>
    </row>
    <row r="17" spans="1:15" ht="12">
      <c r="A17" s="5"/>
      <c r="B17" s="5" t="s">
        <v>61</v>
      </c>
      <c r="C17" s="10">
        <v>76.7</v>
      </c>
      <c r="D17" s="10">
        <v>55.4</v>
      </c>
      <c r="E17" s="10">
        <v>47.1</v>
      </c>
      <c r="F17" s="10">
        <v>35.4</v>
      </c>
      <c r="G17" s="11">
        <f>(C17*35+D17*30+E17*30)/95</f>
        <v>60.626315789473686</v>
      </c>
      <c r="H17" s="10">
        <f>(C17*35+D17*30+E17*30+F17*5)/100</f>
        <v>59.365</v>
      </c>
      <c r="I17" s="9"/>
      <c r="J17" s="11">
        <v>98</v>
      </c>
      <c r="K17" s="6">
        <v>72.5</v>
      </c>
      <c r="L17" s="6">
        <v>62.2</v>
      </c>
      <c r="M17" s="6">
        <v>49.9</v>
      </c>
      <c r="N17" s="11">
        <f>(J17*35+K17*30+L17*30)/95</f>
        <v>78.6421052631579</v>
      </c>
      <c r="O17" s="10">
        <f>(J17*35+K17*30+L17*30+M17*5)/100</f>
        <v>77.205</v>
      </c>
    </row>
    <row r="18" spans="1:15" ht="12">
      <c r="A18" s="5"/>
      <c r="B18" s="5" t="s">
        <v>3</v>
      </c>
      <c r="C18" s="10">
        <v>81</v>
      </c>
      <c r="D18" s="10">
        <v>58.4</v>
      </c>
      <c r="E18" s="10">
        <v>52.2</v>
      </c>
      <c r="F18" s="10">
        <v>35.4</v>
      </c>
      <c r="G18" s="11">
        <f>(C18*35+D18*30+E18*30)/95</f>
        <v>64.76842105263158</v>
      </c>
      <c r="H18" s="10">
        <f>(C18*35+D18*30+E18*30+F18*5)/100</f>
        <v>63.3</v>
      </c>
      <c r="I18" s="9"/>
      <c r="J18" s="11">
        <f>C18*(1+Ratios!C112)</f>
        <v>103.4941329856584</v>
      </c>
      <c r="K18" s="11">
        <f>D18*(1+Ratios!D112)</f>
        <v>76.42599277978339</v>
      </c>
      <c r="L18" s="11">
        <f>E18*(1+Ratios!E112)</f>
        <v>68.93503184713377</v>
      </c>
      <c r="M18" s="11">
        <f>F18*(1+Ratios!F112)</f>
        <v>49.9</v>
      </c>
      <c r="N18" s="11">
        <f>(J18*35+K18*30+L18*30)/95</f>
        <v>84.0328988769006</v>
      </c>
      <c r="O18" s="10">
        <f>(J18*35+K18*30+L18*30+M18*5)/100</f>
        <v>82.32625393305558</v>
      </c>
    </row>
    <row r="19" spans="1:15" ht="12">
      <c r="A19" s="12"/>
      <c r="B19" s="5"/>
      <c r="C19" s="10"/>
      <c r="D19" s="10"/>
      <c r="E19" s="10"/>
      <c r="F19" s="10"/>
      <c r="G19" s="6"/>
      <c r="H19" s="10"/>
      <c r="I19" s="13"/>
      <c r="J19" s="3"/>
      <c r="K19" s="3"/>
      <c r="L19" s="3"/>
      <c r="M19" s="3"/>
      <c r="N19" s="6"/>
      <c r="O19" s="6"/>
    </row>
    <row r="20" spans="1:15" ht="12">
      <c r="A20" s="5"/>
      <c r="B20" s="12" t="s">
        <v>62</v>
      </c>
      <c r="C20" s="2">
        <f aca="true" t="shared" si="2" ref="C20:H20">C18/C14</f>
        <v>0.8141726347531096</v>
      </c>
      <c r="D20" s="2">
        <f t="shared" si="2"/>
        <v>0.8639053254437871</v>
      </c>
      <c r="E20" s="2">
        <f t="shared" si="2"/>
        <v>0.9050715214564369</v>
      </c>
      <c r="F20" s="2">
        <f t="shared" si="2"/>
        <v>0.7245190339746214</v>
      </c>
      <c r="G20" s="2">
        <f t="shared" si="2"/>
        <v>0.8498251974621261</v>
      </c>
      <c r="H20" s="2">
        <f t="shared" si="2"/>
        <v>0.8457351666502441</v>
      </c>
      <c r="I20" s="9"/>
      <c r="J20" s="2">
        <f aca="true" t="shared" si="3" ref="J20:O20">J18/J14</f>
        <v>0.8494439970096104</v>
      </c>
      <c r="K20" s="2">
        <f t="shared" si="3"/>
        <v>0.9004535231785966</v>
      </c>
      <c r="L20" s="2">
        <f t="shared" si="3"/>
        <v>0.9564347117188177</v>
      </c>
      <c r="M20" s="2">
        <f t="shared" si="3"/>
        <v>0.8237041928029053</v>
      </c>
      <c r="N20" s="2">
        <f t="shared" si="3"/>
        <v>0.8897015727572105</v>
      </c>
      <c r="O20" s="2">
        <f t="shared" si="3"/>
        <v>0.8875464168715403</v>
      </c>
    </row>
    <row r="21" spans="1:15" ht="12">
      <c r="A21" s="5"/>
      <c r="B21" s="5"/>
      <c r="C21" s="10"/>
      <c r="D21" s="10"/>
      <c r="E21" s="10"/>
      <c r="F21" s="10"/>
      <c r="G21" s="6"/>
      <c r="H21" s="6"/>
      <c r="I21" s="4"/>
      <c r="J21" s="6"/>
      <c r="K21" s="6"/>
      <c r="L21" s="6"/>
      <c r="M21" s="6"/>
      <c r="N21" s="6"/>
      <c r="O21" s="14"/>
    </row>
    <row r="22" spans="1:15" ht="12">
      <c r="A22" s="5"/>
      <c r="B22" s="5" t="s">
        <v>63</v>
      </c>
      <c r="C22" s="3">
        <f>'2000-01'!C20</f>
        <v>0.8018745118458733</v>
      </c>
      <c r="D22" s="3">
        <f>'2000-01'!D20</f>
        <v>0.8520263901979265</v>
      </c>
      <c r="E22" s="3">
        <f>'2000-01'!E20</f>
        <v>0.8864668483197092</v>
      </c>
      <c r="F22" s="3">
        <f>'2000-01'!F20</f>
        <v>0.7374631268436579</v>
      </c>
      <c r="G22" s="3">
        <f>'2000-01'!G20</f>
        <v>0.8360766951119363</v>
      </c>
      <c r="H22" s="3">
        <f>'2000-01'!H20</f>
        <v>0.8328440886580419</v>
      </c>
      <c r="I22" s="9"/>
      <c r="J22" s="3">
        <f>'2000-01'!J20</f>
        <v>0.8357741244646006</v>
      </c>
      <c r="K22" s="3">
        <f>'2000-01'!K20</f>
        <v>0.8898089662399445</v>
      </c>
      <c r="L22" s="3">
        <f>'2000-01'!L20</f>
        <v>0.9389165810042862</v>
      </c>
      <c r="M22" s="3">
        <f>'2000-01'!M20</f>
        <v>0.8227504123154923</v>
      </c>
      <c r="N22" s="3">
        <f>'2000-01'!N20</f>
        <v>0.8757776227784432</v>
      </c>
      <c r="O22" s="3">
        <f>'2000-01'!O20</f>
        <v>0.8740315051245426</v>
      </c>
    </row>
    <row r="23" spans="1:15" ht="12">
      <c r="A23" s="5"/>
      <c r="B23" s="5"/>
      <c r="C23" s="10"/>
      <c r="D23" s="10"/>
      <c r="E23" s="10"/>
      <c r="F23" s="6"/>
      <c r="G23" s="6"/>
      <c r="H23" s="6"/>
      <c r="I23" s="9"/>
      <c r="J23" s="6"/>
      <c r="K23" s="6"/>
      <c r="L23" s="6"/>
      <c r="M23" s="6"/>
      <c r="N23" s="6"/>
      <c r="O23" s="14"/>
    </row>
    <row r="24" spans="1:15" ht="12">
      <c r="A24" s="5"/>
      <c r="B24" s="5" t="s">
        <v>64</v>
      </c>
      <c r="C24" s="14">
        <f aca="true" t="shared" si="4" ref="C24:H24">C20-C22</f>
        <v>0.012298122907236309</v>
      </c>
      <c r="D24" s="14">
        <f t="shared" si="4"/>
        <v>0.011878935245860589</v>
      </c>
      <c r="E24" s="14">
        <f t="shared" si="4"/>
        <v>0.018604673136727645</v>
      </c>
      <c r="F24" s="14">
        <f t="shared" si="4"/>
        <v>-0.012944092869036528</v>
      </c>
      <c r="G24" s="14">
        <f t="shared" si="4"/>
        <v>0.013748502350189873</v>
      </c>
      <c r="H24" s="14">
        <f t="shared" si="4"/>
        <v>0.012891077992202127</v>
      </c>
      <c r="I24" s="9"/>
      <c r="J24" s="14">
        <f aca="true" t="shared" si="5" ref="J24:O24">J20-J22</f>
        <v>0.013669872545009731</v>
      </c>
      <c r="K24" s="14">
        <f t="shared" si="5"/>
        <v>0.010644556938652072</v>
      </c>
      <c r="L24" s="14">
        <f t="shared" si="5"/>
        <v>0.017518130714531455</v>
      </c>
      <c r="M24" s="14">
        <f t="shared" si="5"/>
        <v>0.000953780487413014</v>
      </c>
      <c r="N24" s="14">
        <f t="shared" si="5"/>
        <v>0.013923949978767336</v>
      </c>
      <c r="O24" s="14">
        <f t="shared" si="5"/>
        <v>0.013514911746997704</v>
      </c>
    </row>
    <row r="25" spans="1:15" ht="12">
      <c r="A25" s="5"/>
      <c r="B25" s="5"/>
      <c r="C25" s="14"/>
      <c r="D25" s="14"/>
      <c r="E25" s="14"/>
      <c r="F25" s="14"/>
      <c r="G25" s="14"/>
      <c r="H25" s="14"/>
      <c r="I25" s="6"/>
      <c r="J25" s="14"/>
      <c r="K25" s="14"/>
      <c r="L25" s="14"/>
      <c r="M25" s="14"/>
      <c r="N25" s="14"/>
      <c r="O25" s="14"/>
    </row>
    <row r="26" spans="1:15" ht="12">
      <c r="A26" s="15"/>
      <c r="B26" s="15" t="str">
        <f>'2004-05'!B25</f>
        <v>Notes:</v>
      </c>
      <c r="C26" s="17"/>
      <c r="D26" s="17"/>
      <c r="E26" s="17"/>
      <c r="F26" s="17"/>
      <c r="G26" s="17"/>
      <c r="H26" s="17"/>
      <c r="I26" s="16"/>
      <c r="J26" s="17"/>
      <c r="K26" s="17"/>
      <c r="L26" s="17"/>
      <c r="M26" s="17"/>
      <c r="N26" s="17"/>
      <c r="O26" s="17"/>
    </row>
    <row r="27" spans="1:15" ht="12">
      <c r="A27" s="15"/>
      <c r="B27" s="15" t="str">
        <f>'2004-05'!B26</f>
        <v>1. Salary. This figure represents the contracted salary excluding summer teaching, stipends, extra load, or other forms of remuneration.</v>
      </c>
      <c r="C27" s="17"/>
      <c r="D27" s="17"/>
      <c r="E27" s="17"/>
      <c r="F27" s="17"/>
      <c r="G27" s="17"/>
      <c r="H27" s="17"/>
      <c r="I27" s="16"/>
      <c r="J27" s="17"/>
      <c r="K27" s="17"/>
      <c r="L27" s="17"/>
      <c r="M27" s="17"/>
      <c r="N27" s="17"/>
      <c r="O27" s="17"/>
    </row>
    <row r="28" spans="1:15" ht="35.25" customHeight="1">
      <c r="A28" s="18"/>
      <c r="B28" s="43" t="str">
        <f>'2004-05'!B27</f>
        <v>2. Benefits. Compensation includes benefits made by the institution on behalf of the individual faculty member; the amount does not include the employee contribution. Major benefits include a) retirement, b) medical insurance, c) disability income protection, d) tuition for faculty dependents, e) dental insurance, f) social security, g) unemployment insurance, h) group life insurance, i) workers' compensation insurance, j) other benefits in-kind with cash alternatives.</v>
      </c>
      <c r="C28" s="43"/>
      <c r="D28" s="43"/>
      <c r="E28" s="43"/>
      <c r="F28" s="43"/>
      <c r="G28" s="43"/>
      <c r="H28" s="43"/>
      <c r="I28" s="43"/>
      <c r="J28" s="43"/>
      <c r="K28" s="43"/>
      <c r="L28" s="43"/>
      <c r="M28" s="43"/>
      <c r="N28" s="43"/>
      <c r="O28" s="43"/>
    </row>
    <row r="29" spans="1:15" ht="12">
      <c r="A29" s="15"/>
      <c r="B29" s="15" t="str">
        <f>'2004-05'!B28</f>
        <v>3. Total Compensation. Total compensation includes salary plus institutional contribution to benefits.</v>
      </c>
      <c r="C29" s="17"/>
      <c r="D29" s="17"/>
      <c r="E29" s="17"/>
      <c r="F29" s="17"/>
      <c r="G29" s="17"/>
      <c r="H29" s="17"/>
      <c r="I29" s="16"/>
      <c r="J29" s="17"/>
      <c r="K29" s="17"/>
      <c r="L29" s="17"/>
      <c r="M29" s="17"/>
      <c r="N29" s="17"/>
      <c r="O29" s="17"/>
    </row>
    <row r="30" spans="1:15" ht="12">
      <c r="A30" s="15"/>
      <c r="B30" s="15" t="str">
        <f>'2004-05'!B29</f>
        <v>Source: UO Office of Institutional Research.</v>
      </c>
      <c r="C30" s="17"/>
      <c r="D30" s="17"/>
      <c r="E30" s="17"/>
      <c r="F30" s="17"/>
      <c r="G30" s="17"/>
      <c r="H30" s="17"/>
      <c r="I30" s="16"/>
      <c r="J30" s="17"/>
      <c r="K30" s="17"/>
      <c r="L30" s="17"/>
      <c r="M30" s="17"/>
      <c r="N30" s="17"/>
      <c r="O30" s="17"/>
    </row>
  </sheetData>
  <mergeCells count="5">
    <mergeCell ref="B28:O28"/>
    <mergeCell ref="C1:H1"/>
    <mergeCell ref="C2:H2"/>
    <mergeCell ref="J1:O1"/>
    <mergeCell ref="J2:O2"/>
  </mergeCells>
  <printOptions/>
  <pageMargins left="0.75" right="0.75" top="1" bottom="1" header="0.5" footer="0.5"/>
  <pageSetup fitToHeight="1" fitToWidth="1" horizontalDpi="600" verticalDpi="600" orientation="landscape" scale="90"/>
</worksheet>
</file>

<file path=xl/worksheets/sheet11.xml><?xml version="1.0" encoding="utf-8"?>
<worksheet xmlns="http://schemas.openxmlformats.org/spreadsheetml/2006/main" xmlns:r="http://schemas.openxmlformats.org/officeDocument/2006/relationships">
  <sheetPr>
    <pageSetUpPr fitToPage="1"/>
  </sheetPr>
  <dimension ref="A1:O30"/>
  <sheetViews>
    <sheetView zoomScale="150" zoomScaleNormal="150" workbookViewId="0" topLeftCell="A1">
      <selection activeCell="A18" sqref="A18:IV18"/>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5</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105.2</v>
      </c>
      <c r="D5" s="10">
        <v>73.3</v>
      </c>
      <c r="E5" s="10">
        <v>59.7</v>
      </c>
      <c r="F5" s="10">
        <v>54.2</v>
      </c>
      <c r="G5" s="11">
        <f aca="true" t="shared" si="0" ref="G5:G12">(C5*35+D5*30+E5*30)/95</f>
        <v>80.7578947368421</v>
      </c>
      <c r="H5" s="10">
        <f>(C5*35+D5*30+E5*30+F5*5)/100</f>
        <v>79.43</v>
      </c>
      <c r="I5" s="1"/>
      <c r="J5" s="11">
        <v>128.3</v>
      </c>
      <c r="K5" s="11">
        <v>92.4</v>
      </c>
      <c r="L5" s="11">
        <v>76.5</v>
      </c>
      <c r="M5" s="11">
        <v>70</v>
      </c>
      <c r="N5" s="11">
        <f aca="true" t="shared" si="1" ref="N5:N12">(J5*35+K5*30+L5*30)/95</f>
        <v>100.60526315789474</v>
      </c>
      <c r="O5" s="10">
        <f>(J5*35+K5*30+L5*30+M5*5)/100</f>
        <v>99.075</v>
      </c>
    </row>
    <row r="6" spans="1:15" ht="12">
      <c r="A6" s="5"/>
      <c r="B6" s="5" t="s">
        <v>51</v>
      </c>
      <c r="C6" s="10">
        <v>102.2</v>
      </c>
      <c r="D6" s="10">
        <v>65.8</v>
      </c>
      <c r="E6" s="10">
        <v>55.6</v>
      </c>
      <c r="F6" s="10" t="s">
        <v>52</v>
      </c>
      <c r="G6" s="11">
        <f t="shared" si="0"/>
        <v>75.98947368421052</v>
      </c>
      <c r="H6" s="10" t="s">
        <v>52</v>
      </c>
      <c r="I6" s="1"/>
      <c r="J6" s="11">
        <v>130.1</v>
      </c>
      <c r="K6" s="11">
        <v>84.9</v>
      </c>
      <c r="L6" s="11">
        <v>71.7</v>
      </c>
      <c r="M6" s="11" t="s">
        <v>52</v>
      </c>
      <c r="N6" s="11">
        <f t="shared" si="1"/>
        <v>97.38421052631578</v>
      </c>
      <c r="O6" s="10" t="s">
        <v>52</v>
      </c>
    </row>
    <row r="7" spans="1:15" ht="12">
      <c r="A7" s="5"/>
      <c r="B7" s="5" t="s">
        <v>53</v>
      </c>
      <c r="C7" s="10">
        <v>106.2</v>
      </c>
      <c r="D7" s="10">
        <v>71.4</v>
      </c>
      <c r="E7" s="10">
        <v>56.6</v>
      </c>
      <c r="F7" s="10">
        <v>45.9</v>
      </c>
      <c r="G7" s="11">
        <f t="shared" si="0"/>
        <v>79.54736842105264</v>
      </c>
      <c r="H7" s="10">
        <f>(C7*35+D7*30+E7*30+F7*5)/100</f>
        <v>77.865</v>
      </c>
      <c r="I7" s="1"/>
      <c r="J7" s="11">
        <v>128.4</v>
      </c>
      <c r="K7" s="11">
        <v>89.2</v>
      </c>
      <c r="L7" s="11">
        <v>70.7</v>
      </c>
      <c r="M7" s="11">
        <v>58.1</v>
      </c>
      <c r="N7" s="11">
        <f t="shared" si="1"/>
        <v>97.8</v>
      </c>
      <c r="O7" s="10">
        <f>(J7*35+K7*30+L7*30+M7*5)/100</f>
        <v>95.815</v>
      </c>
    </row>
    <row r="8" spans="1:15" ht="12">
      <c r="A8" s="5"/>
      <c r="B8" s="5" t="s">
        <v>54</v>
      </c>
      <c r="C8" s="10">
        <v>94.3</v>
      </c>
      <c r="D8" s="10">
        <v>62.5</v>
      </c>
      <c r="E8" s="10">
        <v>54.6</v>
      </c>
      <c r="F8" s="10" t="s">
        <v>52</v>
      </c>
      <c r="G8" s="11">
        <f t="shared" si="0"/>
        <v>71.72105263157894</v>
      </c>
      <c r="H8" s="10" t="s">
        <v>52</v>
      </c>
      <c r="I8" s="1"/>
      <c r="J8" s="11">
        <v>117.2</v>
      </c>
      <c r="K8" s="11">
        <v>77.7</v>
      </c>
      <c r="L8" s="11">
        <v>67.6</v>
      </c>
      <c r="M8" s="11" t="s">
        <v>52</v>
      </c>
      <c r="N8" s="11">
        <f t="shared" si="1"/>
        <v>89.06315789473685</v>
      </c>
      <c r="O8" s="10" t="s">
        <v>52</v>
      </c>
    </row>
    <row r="9" spans="1:15" ht="12">
      <c r="A9" s="5"/>
      <c r="B9" s="5" t="s">
        <v>55</v>
      </c>
      <c r="C9" s="10">
        <v>100.9</v>
      </c>
      <c r="D9" s="10">
        <v>71.4</v>
      </c>
      <c r="E9" s="10">
        <v>58.5</v>
      </c>
      <c r="F9" s="10">
        <v>60.5</v>
      </c>
      <c r="G9" s="11">
        <f t="shared" si="0"/>
        <v>78.19473684210526</v>
      </c>
      <c r="H9" s="10">
        <f>(C9*35+D9*30+E9*30+F9*5)/100</f>
        <v>77.31</v>
      </c>
      <c r="I9" s="1"/>
      <c r="J9" s="11">
        <v>117.9</v>
      </c>
      <c r="K9" s="11">
        <v>84.9</v>
      </c>
      <c r="L9" s="11">
        <v>69.8</v>
      </c>
      <c r="M9" s="11">
        <v>70.9</v>
      </c>
      <c r="N9" s="11">
        <f t="shared" si="1"/>
        <v>92.28947368421052</v>
      </c>
      <c r="O9" s="10">
        <f>(J9*35+K9*30+L9*30+M9*5)/100</f>
        <v>91.22</v>
      </c>
    </row>
    <row r="10" spans="1:15" ht="12">
      <c r="A10" s="5"/>
      <c r="B10" s="5" t="s">
        <v>56</v>
      </c>
      <c r="C10" s="10">
        <v>88.2</v>
      </c>
      <c r="D10" s="10">
        <v>61.1</v>
      </c>
      <c r="E10" s="10">
        <v>49.8</v>
      </c>
      <c r="F10" s="10" t="s">
        <v>52</v>
      </c>
      <c r="G10" s="11">
        <f t="shared" si="0"/>
        <v>67.51578947368421</v>
      </c>
      <c r="H10" s="10" t="s">
        <v>52</v>
      </c>
      <c r="I10" s="1"/>
      <c r="J10" s="11">
        <v>110.6</v>
      </c>
      <c r="K10" s="11">
        <v>77.7</v>
      </c>
      <c r="L10" s="11">
        <v>62.2</v>
      </c>
      <c r="M10" s="11" t="s">
        <v>52</v>
      </c>
      <c r="N10" s="11">
        <f t="shared" si="1"/>
        <v>84.92631578947369</v>
      </c>
      <c r="O10" s="10" t="s">
        <v>52</v>
      </c>
    </row>
    <row r="11" spans="1:15" ht="12">
      <c r="A11" s="5"/>
      <c r="B11" s="5" t="s">
        <v>57</v>
      </c>
      <c r="C11" s="10">
        <v>85.7</v>
      </c>
      <c r="D11" s="10">
        <v>62.4</v>
      </c>
      <c r="E11" s="10">
        <v>52</v>
      </c>
      <c r="F11" s="10">
        <v>39.8</v>
      </c>
      <c r="G11" s="11">
        <f t="shared" si="0"/>
        <v>67.7</v>
      </c>
      <c r="H11" s="10">
        <f>(C11*35+D11*30+E11*30+F11*5)/100</f>
        <v>66.305</v>
      </c>
      <c r="I11" s="1"/>
      <c r="J11" s="11">
        <v>104.1</v>
      </c>
      <c r="K11" s="11">
        <v>76.8</v>
      </c>
      <c r="L11" s="11">
        <v>64.4</v>
      </c>
      <c r="M11" s="11">
        <v>49.6</v>
      </c>
      <c r="N11" s="11">
        <f t="shared" si="1"/>
        <v>82.9421052631579</v>
      </c>
      <c r="O11" s="10">
        <f>(J11*35+K11*30+L11*30+M11*5)/100</f>
        <v>81.275</v>
      </c>
    </row>
    <row r="12" spans="1:15" ht="12">
      <c r="A12" s="5"/>
      <c r="B12" s="5" t="s">
        <v>58</v>
      </c>
      <c r="C12" s="10">
        <v>85.5</v>
      </c>
      <c r="D12" s="10">
        <v>62.6</v>
      </c>
      <c r="E12" s="10">
        <v>53.6</v>
      </c>
      <c r="F12" s="10">
        <v>36.9</v>
      </c>
      <c r="G12" s="11">
        <f t="shared" si="0"/>
        <v>68.19473684210526</v>
      </c>
      <c r="H12" s="10">
        <f>(C12*35+D12*30+E12*30+F12*5)/100</f>
        <v>66.63</v>
      </c>
      <c r="I12" s="1"/>
      <c r="J12" s="11">
        <v>104.2</v>
      </c>
      <c r="K12" s="11">
        <v>77.5</v>
      </c>
      <c r="L12" s="11">
        <v>65.6</v>
      </c>
      <c r="M12" s="11">
        <v>46</v>
      </c>
      <c r="N12" s="11">
        <f t="shared" si="1"/>
        <v>83.57894736842105</v>
      </c>
      <c r="O12" s="10">
        <f>(J12*35+K12*30+L12*30+M12*5)/100</f>
        <v>81.7</v>
      </c>
    </row>
    <row r="13" spans="1:15" ht="12">
      <c r="A13" s="5"/>
      <c r="B13" s="5"/>
      <c r="C13" s="10"/>
      <c r="D13" s="10"/>
      <c r="E13" s="10"/>
      <c r="F13" s="10"/>
      <c r="G13" s="6"/>
      <c r="H13" s="10"/>
      <c r="I13" s="1"/>
      <c r="J13" s="6"/>
      <c r="K13" s="6"/>
      <c r="L13" s="6"/>
      <c r="M13" s="6"/>
      <c r="N13" s="6"/>
      <c r="O13" s="10"/>
    </row>
    <row r="14" spans="1:15" ht="12">
      <c r="A14" s="5"/>
      <c r="B14" s="5" t="s">
        <v>59</v>
      </c>
      <c r="C14" s="10">
        <f>AVERAGE(C5:C12)</f>
        <v>96.02500000000002</v>
      </c>
      <c r="D14" s="10">
        <f>AVERAGE(D5:D12)</f>
        <v>66.3125</v>
      </c>
      <c r="E14" s="10">
        <f>AVERAGE(E5:E12)</f>
        <v>55.050000000000004</v>
      </c>
      <c r="F14" s="10">
        <f>AVERAGE(F5:F12)</f>
        <v>47.459999999999994</v>
      </c>
      <c r="G14" s="11">
        <f>(C14*35+D14*30+E14*30)/95</f>
        <v>73.70263157894738</v>
      </c>
      <c r="H14" s="10">
        <f>(C14*35+D14*30+E14*30+F14*5)/100</f>
        <v>72.39050000000002</v>
      </c>
      <c r="I14" s="1"/>
      <c r="J14" s="10">
        <f>AVERAGE(J5:J12)</f>
        <v>117.60000000000001</v>
      </c>
      <c r="K14" s="10">
        <f>AVERAGE(K5:K12)</f>
        <v>82.6375</v>
      </c>
      <c r="L14" s="10">
        <f>AVERAGE(L5:L12)</f>
        <v>68.5625</v>
      </c>
      <c r="M14" s="10">
        <f>AVERAGE(M5:M12)</f>
        <v>58.92</v>
      </c>
      <c r="N14" s="11">
        <f>(J14*35+K14*30+L14*30)/95</f>
        <v>91.07368421052631</v>
      </c>
      <c r="O14" s="10">
        <f>(J14*35+K14*30+L14*30+M14*5)/100</f>
        <v>89.46600000000001</v>
      </c>
    </row>
    <row r="15" spans="1:15" ht="12">
      <c r="A15" s="5"/>
      <c r="B15" s="5" t="s">
        <v>60</v>
      </c>
      <c r="C15" s="10">
        <f>Ratios!N128/Ratios!I126</f>
        <v>95.68198312236287</v>
      </c>
      <c r="D15" s="10">
        <f>Ratios!O128/Ratios!J126</f>
        <v>66.15640031031806</v>
      </c>
      <c r="E15" s="10">
        <f>Ratios!P128/Ratios!K126</f>
        <v>55.44288288288289</v>
      </c>
      <c r="F15" s="10">
        <f>Ratios!Q128/Ratios!L126</f>
        <v>40.98578947368421</v>
      </c>
      <c r="G15" s="11">
        <f>(C15*35+D15*30+E15*30)/95</f>
        <v>73.65103057977609</v>
      </c>
      <c r="H15" s="10">
        <f>(C15*35+D15*30+E15*30+F15*5)/100</f>
        <v>72.0177685244715</v>
      </c>
      <c r="I15" s="9"/>
      <c r="J15" s="11">
        <f>Ratios!S128/Ratios!I126</f>
        <v>117.04976793248946</v>
      </c>
      <c r="K15" s="11">
        <f>Ratios!T128/Ratios!J126</f>
        <v>82.42812257564003</v>
      </c>
      <c r="L15" s="11">
        <f>Ratios!U128/Ratios!K126</f>
        <v>69.19144144144144</v>
      </c>
      <c r="M15" s="11">
        <f>Ratios!V128/Ratios!L126</f>
        <v>51.143157894736845</v>
      </c>
      <c r="N15" s="11">
        <f>(J15*35+K15*30+L15*30)/95</f>
        <v>91.00346103315343</v>
      </c>
      <c r="O15" s="10">
        <f>(J15*35+K15*30+L15*30+M15*5)/100</f>
        <v>89.01044587623261</v>
      </c>
    </row>
    <row r="16" spans="1:15" ht="12">
      <c r="A16" s="5"/>
      <c r="B16" s="5"/>
      <c r="C16" s="10"/>
      <c r="D16" s="10"/>
      <c r="E16" s="10"/>
      <c r="F16" s="10"/>
      <c r="G16" s="11"/>
      <c r="H16" s="10"/>
      <c r="I16" s="9"/>
      <c r="J16" s="6"/>
      <c r="K16" s="6"/>
      <c r="L16" s="6"/>
      <c r="M16" s="6"/>
      <c r="N16" s="11"/>
      <c r="O16" s="10"/>
    </row>
    <row r="17" spans="1:15" ht="12">
      <c r="A17" s="5"/>
      <c r="B17" s="5" t="s">
        <v>61</v>
      </c>
      <c r="C17" s="10">
        <v>75.6</v>
      </c>
      <c r="D17" s="10">
        <v>55.4</v>
      </c>
      <c r="E17" s="10">
        <v>47</v>
      </c>
      <c r="F17" s="10">
        <v>36.1</v>
      </c>
      <c r="G17" s="11">
        <f>(C17*35+D17*30+E17*30)/95</f>
        <v>60.189473684210526</v>
      </c>
      <c r="H17" s="10">
        <f>(C17*35+D17*30+E17*30+F17*5)/100</f>
        <v>58.985</v>
      </c>
      <c r="I17" s="9"/>
      <c r="J17" s="6">
        <v>96.5</v>
      </c>
      <c r="K17" s="6">
        <v>72.1</v>
      </c>
      <c r="L17" s="6">
        <v>62</v>
      </c>
      <c r="M17" s="6">
        <v>50</v>
      </c>
      <c r="N17" s="11">
        <f>(J17*35+K17*30+L17*30)/95</f>
        <v>77.9</v>
      </c>
      <c r="O17" s="10">
        <f>(J17*35+K17*30+L17*30+M17*5)/100</f>
        <v>76.505</v>
      </c>
    </row>
    <row r="18" spans="1:15" ht="12">
      <c r="A18" s="5"/>
      <c r="B18" s="5" t="s">
        <v>3</v>
      </c>
      <c r="C18" s="10">
        <v>77</v>
      </c>
      <c r="D18" s="10">
        <v>56.5</v>
      </c>
      <c r="E18" s="10">
        <v>48.8</v>
      </c>
      <c r="F18" s="10">
        <v>35</v>
      </c>
      <c r="G18" s="11">
        <f>(C18*35+D18*30+E18*30)/95</f>
        <v>61.62105263157895</v>
      </c>
      <c r="H18" s="10">
        <f>(C18*35+D18*30+E18*30+F18*5)/100</f>
        <v>60.29</v>
      </c>
      <c r="I18" s="9"/>
      <c r="J18" s="11">
        <f>C18*(1+Ratios!C128)</f>
        <v>98.28703703703704</v>
      </c>
      <c r="K18" s="11">
        <f>D18*(1+Ratios!D128)</f>
        <v>73.53158844765342</v>
      </c>
      <c r="L18" s="11">
        <f>E18*(1+Ratios!E128)</f>
        <v>64.37446808510637</v>
      </c>
      <c r="M18" s="11">
        <f>F18*(1+Ratios!F128)</f>
        <v>48.476454293628805</v>
      </c>
      <c r="N18" s="11">
        <f>(J18*35+K18*30+L18*30)/95</f>
        <v>79.76029465556937</v>
      </c>
      <c r="O18" s="10">
        <f>(J18*35+K18*30+L18*30+M18*5)/100</f>
        <v>78.19610263747234</v>
      </c>
    </row>
    <row r="19" spans="1:15" ht="12">
      <c r="A19" s="5"/>
      <c r="B19" s="5"/>
      <c r="C19" s="10"/>
      <c r="D19" s="10"/>
      <c r="E19" s="10"/>
      <c r="F19" s="10"/>
      <c r="G19" s="6"/>
      <c r="H19" s="10"/>
      <c r="I19" s="9"/>
      <c r="J19" s="6"/>
      <c r="K19" s="6"/>
      <c r="L19" s="6"/>
      <c r="M19" s="6"/>
      <c r="N19" s="6"/>
      <c r="O19" s="6"/>
    </row>
    <row r="20" spans="1:15" ht="12">
      <c r="A20" s="5"/>
      <c r="B20" s="12" t="s">
        <v>62</v>
      </c>
      <c r="C20" s="2">
        <f aca="true" t="shared" si="2" ref="C20:H20">C18/C14</f>
        <v>0.8018745118458733</v>
      </c>
      <c r="D20" s="2">
        <f t="shared" si="2"/>
        <v>0.8520263901979265</v>
      </c>
      <c r="E20" s="2">
        <f t="shared" si="2"/>
        <v>0.8864668483197092</v>
      </c>
      <c r="F20" s="2">
        <f t="shared" si="2"/>
        <v>0.7374631268436579</v>
      </c>
      <c r="G20" s="2">
        <f t="shared" si="2"/>
        <v>0.8360766951119363</v>
      </c>
      <c r="H20" s="2">
        <f t="shared" si="2"/>
        <v>0.8328440886580419</v>
      </c>
      <c r="I20" s="13"/>
      <c r="J20" s="2">
        <f aca="true" t="shared" si="3" ref="J20:O20">J18/J14</f>
        <v>0.8357741244646006</v>
      </c>
      <c r="K20" s="2">
        <f t="shared" si="3"/>
        <v>0.8898089662399445</v>
      </c>
      <c r="L20" s="2">
        <f t="shared" si="3"/>
        <v>0.9389165810042862</v>
      </c>
      <c r="M20" s="2">
        <f t="shared" si="3"/>
        <v>0.8227504123154923</v>
      </c>
      <c r="N20" s="2">
        <f t="shared" si="3"/>
        <v>0.8757776227784432</v>
      </c>
      <c r="O20" s="2">
        <f t="shared" si="3"/>
        <v>0.8740315051245426</v>
      </c>
    </row>
    <row r="21" spans="1:15" ht="12">
      <c r="A21" s="5"/>
      <c r="B21" s="5"/>
      <c r="C21" s="10"/>
      <c r="D21" s="10"/>
      <c r="E21" s="10"/>
      <c r="F21" s="10"/>
      <c r="G21" s="6"/>
      <c r="H21" s="6"/>
      <c r="I21" s="9"/>
      <c r="J21" s="6"/>
      <c r="K21" s="6"/>
      <c r="L21" s="6"/>
      <c r="M21" s="6"/>
      <c r="N21" s="6"/>
      <c r="O21" s="14"/>
    </row>
    <row r="22" spans="1:15" ht="12">
      <c r="A22" s="5"/>
      <c r="B22" s="5" t="s">
        <v>63</v>
      </c>
      <c r="C22" s="3">
        <f>'1999-00'!C19</f>
        <v>0.7831325301204818</v>
      </c>
      <c r="D22" s="3">
        <f>'1999-00'!D19</f>
        <v>0.814305364511692</v>
      </c>
      <c r="E22" s="3">
        <f>'1999-00'!E19</f>
        <v>0.8444970414201185</v>
      </c>
      <c r="F22" s="3">
        <f>'1999-00'!F19</f>
        <v>0.7678029024637193</v>
      </c>
      <c r="G22" s="3">
        <f>'1999-00'!G19</f>
        <v>0.8065637498598288</v>
      </c>
      <c r="H22" s="3">
        <f>'1999-00'!H19</f>
        <v>0.8053748246608385</v>
      </c>
      <c r="I22" s="4"/>
      <c r="J22" s="3">
        <f>'1999-00'!J19</f>
        <v>0.8197309417040358</v>
      </c>
      <c r="K22" s="3">
        <f>'1999-00'!K19</f>
        <v>0.8601608071890272</v>
      </c>
      <c r="L22" s="3">
        <f>'1999-00'!L19</f>
        <v>0.8964732650739478</v>
      </c>
      <c r="M22" s="3">
        <f>'1999-00'!M19</f>
        <v>0.8680839465794495</v>
      </c>
      <c r="N22" s="3">
        <f>'1999-00'!N19</f>
        <v>0.8497525389353877</v>
      </c>
      <c r="O22" s="3">
        <f>'1999-00'!O19</f>
        <v>0.850316342290951</v>
      </c>
    </row>
    <row r="23" spans="1:15" ht="12">
      <c r="A23" s="5"/>
      <c r="B23" s="5"/>
      <c r="C23" s="10"/>
      <c r="D23" s="10"/>
      <c r="E23" s="10"/>
      <c r="F23" s="6"/>
      <c r="G23" s="6"/>
      <c r="H23" s="6"/>
      <c r="I23" s="9"/>
      <c r="J23" s="6"/>
      <c r="K23" s="6"/>
      <c r="L23" s="6"/>
      <c r="M23" s="6"/>
      <c r="N23" s="6"/>
      <c r="O23" s="14"/>
    </row>
    <row r="24" spans="1:15" ht="12">
      <c r="A24" s="5"/>
      <c r="B24" s="5" t="s">
        <v>64</v>
      </c>
      <c r="C24" s="14">
        <f aca="true" t="shared" si="4" ref="C24:H24">C20-C22</f>
        <v>0.018741981725391543</v>
      </c>
      <c r="D24" s="14">
        <f t="shared" si="4"/>
        <v>0.03772102568623448</v>
      </c>
      <c r="E24" s="14">
        <f t="shared" si="4"/>
        <v>0.041969806899590734</v>
      </c>
      <c r="F24" s="14">
        <f t="shared" si="4"/>
        <v>-0.030339775620061404</v>
      </c>
      <c r="G24" s="14">
        <f t="shared" si="4"/>
        <v>0.02951294525210746</v>
      </c>
      <c r="H24" s="14">
        <f t="shared" si="4"/>
        <v>0.027469263997203397</v>
      </c>
      <c r="I24" s="9"/>
      <c r="J24" s="14">
        <f aca="true" t="shared" si="5" ref="J24:O24">J20-J22</f>
        <v>0.016043182760564823</v>
      </c>
      <c r="K24" s="14">
        <f t="shared" si="5"/>
        <v>0.029648159050917333</v>
      </c>
      <c r="L24" s="14">
        <f t="shared" si="5"/>
        <v>0.042443315930338454</v>
      </c>
      <c r="M24" s="14">
        <f t="shared" si="5"/>
        <v>-0.045333534263957254</v>
      </c>
      <c r="N24" s="14">
        <f t="shared" si="5"/>
        <v>0.026025083843055463</v>
      </c>
      <c r="O24" s="14">
        <f t="shared" si="5"/>
        <v>0.023715162833591652</v>
      </c>
    </row>
    <row r="25" spans="1:15" ht="12">
      <c r="A25" s="5"/>
      <c r="B25" s="5"/>
      <c r="C25" s="6"/>
      <c r="D25" s="6"/>
      <c r="E25" s="6"/>
      <c r="F25" s="6"/>
      <c r="G25" s="6"/>
      <c r="H25" s="6"/>
      <c r="I25" s="9"/>
      <c r="J25" s="6"/>
      <c r="K25" s="6"/>
      <c r="L25" s="6"/>
      <c r="M25" s="6"/>
      <c r="N25" s="6"/>
      <c r="O25" s="6"/>
    </row>
    <row r="26" spans="1:15" ht="12">
      <c r="A26" s="15"/>
      <c r="B26" s="15" t="str">
        <f>'2004-05'!B25</f>
        <v>Notes:</v>
      </c>
      <c r="C26" s="15"/>
      <c r="D26" s="15"/>
      <c r="E26" s="15"/>
      <c r="F26" s="15"/>
      <c r="G26" s="15"/>
      <c r="H26" s="15"/>
      <c r="I26" s="15"/>
      <c r="J26" s="15"/>
      <c r="K26" s="15"/>
      <c r="L26" s="15"/>
      <c r="M26" s="15"/>
      <c r="N26" s="15"/>
      <c r="O26" s="15"/>
    </row>
    <row r="27" spans="1:15" ht="12">
      <c r="A27" s="15"/>
      <c r="B27" s="15" t="str">
        <f>'2004-05'!B26</f>
        <v>1. Salary. This figure represents the contracted salary excluding summer teaching, stipends, extra load, or other forms of remuneration.</v>
      </c>
      <c r="C27" s="16"/>
      <c r="D27" s="16"/>
      <c r="E27" s="16"/>
      <c r="F27" s="16"/>
      <c r="G27" s="16"/>
      <c r="H27" s="16"/>
      <c r="I27" s="16"/>
      <c r="J27" s="16"/>
      <c r="K27" s="16"/>
      <c r="L27" s="16"/>
      <c r="M27" s="16"/>
      <c r="N27" s="16"/>
      <c r="O27" s="16"/>
    </row>
    <row r="28" spans="1:15" ht="35.25" customHeight="1">
      <c r="A28" s="18"/>
      <c r="B28" s="43" t="str">
        <f>'2004-05'!B27</f>
        <v>2. Benefits. Compensation includes benefits made by the institution on behalf of the individual faculty member; the amount does not include the employee contribution. Major benefits include a) retirement, b) medical insurance, c) disability income protection, d) tuition for faculty dependents, e) dental insurance, f) social security, g) unemployment insurance, h) group life insurance, i) workers' compensation insurance, j) other benefits in-kind with cash alternatives.</v>
      </c>
      <c r="C28" s="43"/>
      <c r="D28" s="43"/>
      <c r="E28" s="43"/>
      <c r="F28" s="43"/>
      <c r="G28" s="43"/>
      <c r="H28" s="43"/>
      <c r="I28" s="43"/>
      <c r="J28" s="43"/>
      <c r="K28" s="43"/>
      <c r="L28" s="43"/>
      <c r="M28" s="43"/>
      <c r="N28" s="43"/>
      <c r="O28" s="43"/>
    </row>
    <row r="29" spans="1:15" ht="12">
      <c r="A29" s="15"/>
      <c r="B29" s="15" t="str">
        <f>'2004-05'!B28</f>
        <v>3. Total Compensation. Total compensation includes salary plus institutional contribution to benefits.</v>
      </c>
      <c r="C29" s="16"/>
      <c r="D29" s="16"/>
      <c r="E29" s="16"/>
      <c r="F29" s="16"/>
      <c r="G29" s="16"/>
      <c r="H29" s="16"/>
      <c r="I29" s="16"/>
      <c r="J29" s="16"/>
      <c r="K29" s="16"/>
      <c r="L29" s="16"/>
      <c r="M29" s="16"/>
      <c r="N29" s="16"/>
      <c r="O29" s="16"/>
    </row>
    <row r="30" spans="1:15" ht="12">
      <c r="A30" s="15"/>
      <c r="B30" s="15" t="str">
        <f>'2004-05'!B29</f>
        <v>Source: UO Office of Institutional Research.</v>
      </c>
      <c r="C30" s="16"/>
      <c r="D30" s="16"/>
      <c r="E30" s="16"/>
      <c r="F30" s="16"/>
      <c r="G30" s="16"/>
      <c r="H30" s="16"/>
      <c r="I30" s="16"/>
      <c r="J30" s="16"/>
      <c r="K30" s="16"/>
      <c r="L30" s="16"/>
      <c r="M30" s="16"/>
      <c r="N30" s="16"/>
      <c r="O30" s="16"/>
    </row>
  </sheetData>
  <mergeCells count="5">
    <mergeCell ref="B28:O28"/>
    <mergeCell ref="C2:H2"/>
    <mergeCell ref="J1:O1"/>
    <mergeCell ref="J2:O2"/>
    <mergeCell ref="C1:H1"/>
  </mergeCells>
  <printOptions/>
  <pageMargins left="0.75" right="0.75" top="1" bottom="1" header="0.5" footer="0.5"/>
  <pageSetup fitToHeight="1" fitToWidth="1" horizontalDpi="600" verticalDpi="600" orientation="landscape" scale="90"/>
</worksheet>
</file>

<file path=xl/worksheets/sheet12.xml><?xml version="1.0" encoding="utf-8"?>
<worksheet xmlns="http://schemas.openxmlformats.org/spreadsheetml/2006/main" xmlns:r="http://schemas.openxmlformats.org/officeDocument/2006/relationships">
  <sheetPr>
    <pageSetUpPr fitToPage="1"/>
  </sheetPr>
  <dimension ref="A1:O29"/>
  <sheetViews>
    <sheetView workbookViewId="0" topLeftCell="A1">
      <selection activeCell="A1" sqref="A1"/>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6</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100.9</v>
      </c>
      <c r="D5" s="10">
        <v>71.8</v>
      </c>
      <c r="E5" s="10">
        <v>57.7</v>
      </c>
      <c r="F5" s="10">
        <v>50.2</v>
      </c>
      <c r="G5" s="11">
        <f aca="true" t="shared" si="0" ref="G5:G12">(C5*35+D5*30+E5*30)/95</f>
        <v>78.06842105263158</v>
      </c>
      <c r="H5" s="10">
        <f>(C5*35+D5*30+E5*30+F5*5)/100</f>
        <v>76.675</v>
      </c>
      <c r="I5" s="1"/>
      <c r="J5" s="11">
        <v>122.8</v>
      </c>
      <c r="K5" s="11">
        <v>90.2</v>
      </c>
      <c r="L5" s="11">
        <v>73.7</v>
      </c>
      <c r="M5" s="11">
        <v>64.8</v>
      </c>
      <c r="N5" s="11">
        <f aca="true" t="shared" si="1" ref="N5:N12">(J5*35+K5*30+L5*30)/95</f>
        <v>97</v>
      </c>
      <c r="O5" s="10">
        <f>(J5*35+K5*30+L5*30+M5*5)/100</f>
        <v>95.39</v>
      </c>
    </row>
    <row r="6" spans="1:15" ht="12">
      <c r="A6" s="5"/>
      <c r="B6" s="5" t="s">
        <v>51</v>
      </c>
      <c r="C6" s="10">
        <v>96.7</v>
      </c>
      <c r="D6" s="10">
        <v>63.4</v>
      </c>
      <c r="E6" s="10">
        <v>53.2</v>
      </c>
      <c r="F6" s="10" t="s">
        <v>52</v>
      </c>
      <c r="G6" s="11">
        <f t="shared" si="0"/>
        <v>72.44736842105263</v>
      </c>
      <c r="H6" s="10" t="s">
        <v>52</v>
      </c>
      <c r="I6" s="1"/>
      <c r="J6" s="11">
        <v>122</v>
      </c>
      <c r="K6" s="11">
        <v>82.2</v>
      </c>
      <c r="L6" s="11">
        <v>69.5</v>
      </c>
      <c r="M6" s="11" t="s">
        <v>52</v>
      </c>
      <c r="N6" s="11">
        <f t="shared" si="1"/>
        <v>92.85263157894737</v>
      </c>
      <c r="O6" s="10" t="s">
        <v>52</v>
      </c>
    </row>
    <row r="7" spans="1:15" ht="12">
      <c r="A7" s="5"/>
      <c r="B7" s="5" t="s">
        <v>53</v>
      </c>
      <c r="C7" s="10">
        <v>101.2</v>
      </c>
      <c r="D7" s="10">
        <v>68.9</v>
      </c>
      <c r="E7" s="10">
        <v>53.7</v>
      </c>
      <c r="F7" s="10">
        <v>41.2</v>
      </c>
      <c r="G7" s="11">
        <f t="shared" si="0"/>
        <v>76</v>
      </c>
      <c r="H7" s="10">
        <f aca="true" t="shared" si="2" ref="H7:H12">(C7*35+D7*30+E7*30+F7*5)/100</f>
        <v>74.26</v>
      </c>
      <c r="I7" s="1"/>
      <c r="J7" s="11">
        <v>122.9</v>
      </c>
      <c r="K7" s="11">
        <v>86.1</v>
      </c>
      <c r="L7" s="11">
        <v>67.6</v>
      </c>
      <c r="M7" s="11">
        <v>51.6</v>
      </c>
      <c r="N7" s="11">
        <f t="shared" si="1"/>
        <v>93.8157894736842</v>
      </c>
      <c r="O7" s="10">
        <f aca="true" t="shared" si="3" ref="O7:O12">(J7*35+K7*30+L7*30+M7*5)/100</f>
        <v>91.705</v>
      </c>
    </row>
    <row r="8" spans="1:15" ht="12">
      <c r="A8" s="5"/>
      <c r="B8" s="5" t="s">
        <v>54</v>
      </c>
      <c r="C8" s="10">
        <v>89.6</v>
      </c>
      <c r="D8" s="10">
        <v>60.8</v>
      </c>
      <c r="E8" s="10">
        <v>52.7</v>
      </c>
      <c r="F8" s="10">
        <v>42.2</v>
      </c>
      <c r="G8" s="11">
        <f t="shared" si="0"/>
        <v>68.85263157894737</v>
      </c>
      <c r="H8" s="10">
        <f t="shared" si="2"/>
        <v>67.52</v>
      </c>
      <c r="I8" s="1"/>
      <c r="J8" s="11">
        <v>111.1</v>
      </c>
      <c r="K8" s="11">
        <v>76.9</v>
      </c>
      <c r="L8" s="11">
        <v>67.3</v>
      </c>
      <c r="M8" s="11">
        <v>54.9</v>
      </c>
      <c r="N8" s="11">
        <f t="shared" si="1"/>
        <v>86.46842105263158</v>
      </c>
      <c r="O8" s="10">
        <f t="shared" si="3"/>
        <v>84.89</v>
      </c>
    </row>
    <row r="9" spans="1:15" ht="12">
      <c r="A9" s="5"/>
      <c r="B9" s="5" t="s">
        <v>55</v>
      </c>
      <c r="C9" s="10">
        <v>93.8</v>
      </c>
      <c r="D9" s="10">
        <v>67.4</v>
      </c>
      <c r="E9" s="10">
        <v>55.2</v>
      </c>
      <c r="F9" s="10">
        <v>58.1</v>
      </c>
      <c r="G9" s="11">
        <f t="shared" si="0"/>
        <v>73.27368421052631</v>
      </c>
      <c r="H9" s="10">
        <f t="shared" si="2"/>
        <v>72.515</v>
      </c>
      <c r="I9" s="1"/>
      <c r="J9" s="11">
        <v>109.1</v>
      </c>
      <c r="K9" s="11">
        <v>79.6</v>
      </c>
      <c r="L9" s="11">
        <v>65.3</v>
      </c>
      <c r="M9" s="11">
        <v>68.2</v>
      </c>
      <c r="N9" s="11">
        <f t="shared" si="1"/>
        <v>85.95263157894736</v>
      </c>
      <c r="O9" s="10">
        <f t="shared" si="3"/>
        <v>85.065</v>
      </c>
    </row>
    <row r="10" spans="1:15" ht="12">
      <c r="A10" s="5"/>
      <c r="B10" s="5" t="s">
        <v>56</v>
      </c>
      <c r="C10" s="10">
        <v>85</v>
      </c>
      <c r="D10" s="10">
        <v>58.8</v>
      </c>
      <c r="E10" s="10">
        <v>48.4</v>
      </c>
      <c r="F10" s="10">
        <v>32.8</v>
      </c>
      <c r="G10" s="11">
        <f t="shared" si="0"/>
        <v>65.16842105263157</v>
      </c>
      <c r="H10" s="10">
        <f t="shared" si="2"/>
        <v>63.55</v>
      </c>
      <c r="I10" s="1"/>
      <c r="J10" s="11">
        <v>106.2</v>
      </c>
      <c r="K10" s="11">
        <v>74.3</v>
      </c>
      <c r="L10" s="11">
        <v>60.4</v>
      </c>
      <c r="M10" s="11">
        <v>39</v>
      </c>
      <c r="N10" s="11">
        <f t="shared" si="1"/>
        <v>81.66315789473684</v>
      </c>
      <c r="O10" s="10">
        <f t="shared" si="3"/>
        <v>79.53</v>
      </c>
    </row>
    <row r="11" spans="1:15" ht="12">
      <c r="A11" s="5"/>
      <c r="B11" s="5" t="s">
        <v>57</v>
      </c>
      <c r="C11" s="10">
        <v>82.6</v>
      </c>
      <c r="D11" s="10">
        <v>59.4</v>
      </c>
      <c r="E11" s="10">
        <v>50.2</v>
      </c>
      <c r="F11" s="10">
        <v>36.9</v>
      </c>
      <c r="G11" s="11">
        <f t="shared" si="0"/>
        <v>65.0421052631579</v>
      </c>
      <c r="H11" s="10">
        <f t="shared" si="2"/>
        <v>63.635</v>
      </c>
      <c r="I11" s="1"/>
      <c r="J11" s="11">
        <v>100.4</v>
      </c>
      <c r="K11" s="11">
        <v>73.4</v>
      </c>
      <c r="L11" s="11">
        <v>61.8</v>
      </c>
      <c r="M11" s="11">
        <v>45.2</v>
      </c>
      <c r="N11" s="11">
        <f t="shared" si="1"/>
        <v>79.6842105263158</v>
      </c>
      <c r="O11" s="10">
        <f t="shared" si="3"/>
        <v>77.96</v>
      </c>
    </row>
    <row r="12" spans="1:15" ht="12">
      <c r="A12" s="5"/>
      <c r="B12" s="5" t="s">
        <v>58</v>
      </c>
      <c r="C12" s="10">
        <v>80.6</v>
      </c>
      <c r="D12" s="10">
        <v>58.4</v>
      </c>
      <c r="E12" s="10">
        <v>51.4</v>
      </c>
      <c r="F12" s="10">
        <v>34.9</v>
      </c>
      <c r="G12" s="11">
        <f t="shared" si="0"/>
        <v>64.36842105263158</v>
      </c>
      <c r="H12" s="10">
        <f t="shared" si="2"/>
        <v>62.895</v>
      </c>
      <c r="I12" s="1"/>
      <c r="J12" s="11">
        <v>97.5</v>
      </c>
      <c r="K12" s="11">
        <v>71.6</v>
      </c>
      <c r="L12" s="11">
        <v>61.8</v>
      </c>
      <c r="M12" s="11">
        <v>43.2</v>
      </c>
      <c r="N12" s="11">
        <f t="shared" si="1"/>
        <v>78.04736842105264</v>
      </c>
      <c r="O12" s="10">
        <f t="shared" si="3"/>
        <v>76.305</v>
      </c>
    </row>
    <row r="13" spans="1:15" ht="12">
      <c r="A13" s="5"/>
      <c r="B13" s="5"/>
      <c r="C13" s="10"/>
      <c r="D13" s="10"/>
      <c r="E13" s="10"/>
      <c r="F13" s="10"/>
      <c r="G13" s="6"/>
      <c r="H13" s="10"/>
      <c r="I13" s="1"/>
      <c r="J13" s="6"/>
      <c r="K13" s="6"/>
      <c r="L13" s="6"/>
      <c r="M13" s="6"/>
      <c r="N13" s="6"/>
      <c r="O13" s="10"/>
    </row>
    <row r="14" spans="1:15" ht="12">
      <c r="A14" s="5"/>
      <c r="B14" s="5" t="s">
        <v>59</v>
      </c>
      <c r="C14" s="10">
        <f>AVERAGE(C5:C12)</f>
        <v>91.30000000000001</v>
      </c>
      <c r="D14" s="10">
        <f>AVERAGE(D5:D12)</f>
        <v>63.61249999999999</v>
      </c>
      <c r="E14" s="10">
        <f>AVERAGE(E5:E12)</f>
        <v>52.81249999999999</v>
      </c>
      <c r="F14" s="10">
        <f>AVERAGE(F5:F12)</f>
        <v>42.32857142857142</v>
      </c>
      <c r="G14" s="11">
        <f>(C14*35+D14*30+E14*30)/95</f>
        <v>70.40263157894736</v>
      </c>
      <c r="H14" s="10">
        <f>(C14*35+D14*30+E14*30+F14*5)/100</f>
        <v>68.99892857142856</v>
      </c>
      <c r="I14" s="1"/>
      <c r="J14" s="10">
        <f>AVERAGE(J5:J12)</f>
        <v>111.50000000000001</v>
      </c>
      <c r="K14" s="10">
        <f>AVERAGE(K5:K12)</f>
        <v>79.28750000000001</v>
      </c>
      <c r="L14" s="10">
        <f>AVERAGE(L5:L12)</f>
        <v>65.925</v>
      </c>
      <c r="M14" s="10">
        <f>AVERAGE(M5:M12)</f>
        <v>52.41428571428571</v>
      </c>
      <c r="N14" s="11">
        <f>(J14*35+K14*30+L14*30)/95</f>
        <v>86.93552631578947</v>
      </c>
      <c r="O14" s="10">
        <f>(J14*35+K14*30+L14*30+M14*5)/100</f>
        <v>85.20946428571429</v>
      </c>
    </row>
    <row r="15" spans="1:15" ht="12">
      <c r="A15" s="5"/>
      <c r="B15" s="5" t="s">
        <v>60</v>
      </c>
      <c r="C15" s="10">
        <f>Ratios!N144/Ratios!I142</f>
        <v>90.9406078514141</v>
      </c>
      <c r="D15" s="10">
        <f>Ratios!O144/Ratios!J142</f>
        <v>63.57949823598588</v>
      </c>
      <c r="E15" s="10">
        <f>Ratios!P144/Ratios!K142</f>
        <v>53.27756618671622</v>
      </c>
      <c r="F15" s="10">
        <f>Ratios!Q144/Ratios!L142</f>
        <v>39.37952380952381</v>
      </c>
      <c r="G15" s="11">
        <f>(C15*35+D15*30+E15*30)/95</f>
        <v>70.40666534190059</v>
      </c>
      <c r="H15" s="10">
        <f>(C15*35+D15*30+E15*30+F15*5)/100</f>
        <v>68.85530826528175</v>
      </c>
      <c r="I15" s="9"/>
      <c r="J15" s="11">
        <f>Ratios!S144/Ratios!I142</f>
        <v>110.83368509919798</v>
      </c>
      <c r="K15" s="11">
        <f>Ratios!T144/Ratios!J142</f>
        <v>79.15566444531555</v>
      </c>
      <c r="L15" s="11">
        <f>Ratios!U144/Ratios!K142</f>
        <v>66.52703204830468</v>
      </c>
      <c r="M15" s="11">
        <f>Ratios!V144/Ratios!L142</f>
        <v>48.54952380952382</v>
      </c>
      <c r="N15" s="11">
        <f>(J15*35+K15*30+L15*30)/95</f>
        <v>86.83852498190038</v>
      </c>
      <c r="O15" s="10">
        <f>(J15*35+K15*30+L15*30+M15*5)/100</f>
        <v>84.92407492328155</v>
      </c>
    </row>
    <row r="16" spans="1:15" ht="12">
      <c r="A16" s="5"/>
      <c r="B16" s="5"/>
      <c r="C16" s="10"/>
      <c r="D16" s="10"/>
      <c r="E16" s="10"/>
      <c r="F16" s="10"/>
      <c r="G16" s="11"/>
      <c r="H16" s="10"/>
      <c r="I16" s="9"/>
      <c r="J16" s="6"/>
      <c r="K16" s="6"/>
      <c r="L16" s="6"/>
      <c r="M16" s="6"/>
      <c r="N16" s="11"/>
      <c r="O16" s="10"/>
    </row>
    <row r="17" spans="1:15" ht="12">
      <c r="A17" s="5"/>
      <c r="B17" s="5" t="s">
        <v>61</v>
      </c>
      <c r="C17" s="10">
        <v>71.5</v>
      </c>
      <c r="D17" s="10">
        <v>51.8</v>
      </c>
      <c r="E17" s="10">
        <v>44.6</v>
      </c>
      <c r="F17" s="10">
        <v>32.5</v>
      </c>
      <c r="G17" s="11">
        <f>(C17*35+D17*30+E17*30)/95</f>
        <v>56.78421052631579</v>
      </c>
      <c r="H17" s="10">
        <f>(C17*35+D17*30+E17*30+F17*5)/100</f>
        <v>55.57</v>
      </c>
      <c r="I17" s="9"/>
      <c r="J17" s="6">
        <v>91.4</v>
      </c>
      <c r="K17" s="6">
        <v>68.2</v>
      </c>
      <c r="L17" s="11">
        <v>59.1</v>
      </c>
      <c r="M17" s="6">
        <v>45.5</v>
      </c>
      <c r="N17" s="11">
        <f>(J17*35+K17*30+L17*30)/95</f>
        <v>73.87368421052632</v>
      </c>
      <c r="O17" s="10">
        <f>(J17*35+K17*30+L17*30+M17*5)/100</f>
        <v>72.455</v>
      </c>
    </row>
    <row r="18" spans="1:15" ht="12">
      <c r="A18" s="5"/>
      <c r="B18" s="5"/>
      <c r="C18" s="10"/>
      <c r="D18" s="10"/>
      <c r="E18" s="10"/>
      <c r="F18" s="10"/>
      <c r="G18" s="6"/>
      <c r="H18" s="10"/>
      <c r="I18" s="9"/>
      <c r="J18" s="6"/>
      <c r="K18" s="6"/>
      <c r="L18" s="6"/>
      <c r="M18" s="6"/>
      <c r="N18" s="6"/>
      <c r="O18" s="6"/>
    </row>
    <row r="19" spans="1:15" ht="12">
      <c r="A19" s="5"/>
      <c r="B19" s="12" t="s">
        <v>62</v>
      </c>
      <c r="C19" s="2">
        <f aca="true" t="shared" si="4" ref="C19:H19">C17/C14</f>
        <v>0.7831325301204818</v>
      </c>
      <c r="D19" s="2">
        <f t="shared" si="4"/>
        <v>0.814305364511692</v>
      </c>
      <c r="E19" s="2">
        <f t="shared" si="4"/>
        <v>0.8444970414201185</v>
      </c>
      <c r="F19" s="2">
        <f t="shared" si="4"/>
        <v>0.7678029024637193</v>
      </c>
      <c r="G19" s="2">
        <f t="shared" si="4"/>
        <v>0.8065637498598288</v>
      </c>
      <c r="H19" s="2">
        <f t="shared" si="4"/>
        <v>0.8053748246608385</v>
      </c>
      <c r="I19" s="13"/>
      <c r="J19" s="2">
        <f aca="true" t="shared" si="5" ref="J19:O19">J17/J14</f>
        <v>0.8197309417040358</v>
      </c>
      <c r="K19" s="2">
        <f t="shared" si="5"/>
        <v>0.8601608071890272</v>
      </c>
      <c r="L19" s="2">
        <f t="shared" si="5"/>
        <v>0.8964732650739478</v>
      </c>
      <c r="M19" s="2">
        <f t="shared" si="5"/>
        <v>0.8680839465794495</v>
      </c>
      <c r="N19" s="2">
        <f t="shared" si="5"/>
        <v>0.8497525389353877</v>
      </c>
      <c r="O19" s="2">
        <f t="shared" si="5"/>
        <v>0.850316342290951</v>
      </c>
    </row>
    <row r="20" spans="1:15" ht="12">
      <c r="A20" s="5"/>
      <c r="B20" s="5"/>
      <c r="C20" s="10"/>
      <c r="D20" s="10"/>
      <c r="E20" s="10"/>
      <c r="F20" s="10"/>
      <c r="G20" s="6"/>
      <c r="H20" s="6"/>
      <c r="I20" s="9"/>
      <c r="J20" s="6"/>
      <c r="K20" s="6"/>
      <c r="L20" s="6"/>
      <c r="M20" s="6"/>
      <c r="N20" s="6"/>
      <c r="O20" s="14"/>
    </row>
    <row r="21" spans="1:15" ht="12">
      <c r="A21" s="5"/>
      <c r="B21" s="5" t="s">
        <v>63</v>
      </c>
      <c r="C21" s="3">
        <f>'1998-99'!C19</f>
        <v>0.7741564967695621</v>
      </c>
      <c r="D21" s="3">
        <f>'1998-99'!D19</f>
        <v>0.821186614658181</v>
      </c>
      <c r="E21" s="3">
        <f>'1998-99'!E19</f>
        <v>0.8913370055082624</v>
      </c>
      <c r="F21" s="3">
        <f>'1998-99'!F19</f>
        <v>0.8036573628488931</v>
      </c>
      <c r="G21" s="3">
        <f>'1998-99'!G19</f>
        <v>0.8151846583942322</v>
      </c>
      <c r="H21" s="3">
        <f>'1998-99'!H19</f>
        <v>0.8148205848210978</v>
      </c>
      <c r="I21" s="4"/>
      <c r="J21" s="3">
        <f>'1998-99'!J19</f>
        <v>0.7843691148775894</v>
      </c>
      <c r="K21" s="3">
        <f>'1998-99'!K19</f>
        <v>0.831598082961494</v>
      </c>
      <c r="L21" s="3">
        <f>'1998-99'!L19</f>
        <v>0.8685162846803377</v>
      </c>
      <c r="M21" s="3">
        <f>'1998-99'!M19</f>
        <v>0.8615324776351614</v>
      </c>
      <c r="N21" s="3">
        <f>'1998-99'!N19</f>
        <v>0.8180095843084809</v>
      </c>
      <c r="O21" s="3">
        <f>'1998-99'!O19</f>
        <v>0.8193895892877514</v>
      </c>
    </row>
    <row r="22" spans="1:15" ht="12">
      <c r="A22" s="5"/>
      <c r="B22" s="5"/>
      <c r="C22" s="10"/>
      <c r="D22" s="10"/>
      <c r="E22" s="10"/>
      <c r="F22" s="6"/>
      <c r="G22" s="6"/>
      <c r="H22" s="6"/>
      <c r="I22" s="9"/>
      <c r="J22" s="6"/>
      <c r="K22" s="6"/>
      <c r="L22" s="6"/>
      <c r="M22" s="6"/>
      <c r="N22" s="6"/>
      <c r="O22" s="14"/>
    </row>
    <row r="23" spans="1:15" ht="12">
      <c r="A23" s="5"/>
      <c r="B23" s="5" t="s">
        <v>64</v>
      </c>
      <c r="C23" s="14">
        <f aca="true" t="shared" si="6" ref="C23:H23">C19-C21</f>
        <v>0.008976033350919677</v>
      </c>
      <c r="D23" s="14">
        <f t="shared" si="6"/>
        <v>-0.006881250146488993</v>
      </c>
      <c r="E23" s="14">
        <f t="shared" si="6"/>
        <v>-0.04683996408814395</v>
      </c>
      <c r="F23" s="14">
        <f t="shared" si="6"/>
        <v>-0.035854460385173814</v>
      </c>
      <c r="G23" s="14">
        <f t="shared" si="6"/>
        <v>-0.008620908534403338</v>
      </c>
      <c r="H23" s="14">
        <f t="shared" si="6"/>
        <v>-0.00944576016025922</v>
      </c>
      <c r="I23" s="9"/>
      <c r="J23" s="14">
        <f aca="true" t="shared" si="7" ref="J23:O23">J19-J21</f>
        <v>0.035361826826446396</v>
      </c>
      <c r="K23" s="14">
        <f t="shared" si="7"/>
        <v>0.028562724227533254</v>
      </c>
      <c r="L23" s="14">
        <f t="shared" si="7"/>
        <v>0.027956980393610054</v>
      </c>
      <c r="M23" s="14">
        <f t="shared" si="7"/>
        <v>0.006551468944288152</v>
      </c>
      <c r="N23" s="14">
        <f t="shared" si="7"/>
        <v>0.031742954626906794</v>
      </c>
      <c r="O23" s="14">
        <f t="shared" si="7"/>
        <v>0.03092675300319958</v>
      </c>
    </row>
    <row r="24" spans="1:15" ht="12">
      <c r="A24" s="5"/>
      <c r="B24" s="5"/>
      <c r="C24" s="6"/>
      <c r="D24" s="6"/>
      <c r="E24" s="6"/>
      <c r="F24" s="6"/>
      <c r="G24" s="6"/>
      <c r="H24" s="6"/>
      <c r="I24" s="9"/>
      <c r="J24" s="6"/>
      <c r="K24" s="6"/>
      <c r="L24" s="6"/>
      <c r="M24" s="6"/>
      <c r="N24" s="6"/>
      <c r="O24" s="6"/>
    </row>
    <row r="25" spans="1:15" ht="12">
      <c r="A25" s="15"/>
      <c r="B25" s="15" t="s">
        <v>65</v>
      </c>
      <c r="C25" s="15"/>
      <c r="D25" s="15"/>
      <c r="E25" s="15"/>
      <c r="F25" s="15"/>
      <c r="G25" s="15"/>
      <c r="H25" s="15"/>
      <c r="I25" s="15"/>
      <c r="J25" s="15"/>
      <c r="K25" s="15"/>
      <c r="L25" s="15"/>
      <c r="M25" s="15"/>
      <c r="N25" s="15"/>
      <c r="O25" s="15"/>
    </row>
    <row r="26" spans="1:15" ht="12">
      <c r="A26" s="15"/>
      <c r="B26" s="15" t="s">
        <v>66</v>
      </c>
      <c r="C26" s="16"/>
      <c r="D26" s="16"/>
      <c r="E26" s="16"/>
      <c r="F26" s="16"/>
      <c r="G26" s="16"/>
      <c r="H26" s="16"/>
      <c r="I26" s="16"/>
      <c r="J26" s="16"/>
      <c r="K26" s="16"/>
      <c r="L26" s="16"/>
      <c r="M26" s="16"/>
      <c r="N26" s="16"/>
      <c r="O26" s="16"/>
    </row>
    <row r="27" spans="1:15" ht="34.5" customHeight="1">
      <c r="A27" s="15"/>
      <c r="B27" s="43" t="s">
        <v>67</v>
      </c>
      <c r="C27" s="43"/>
      <c r="D27" s="43"/>
      <c r="E27" s="43"/>
      <c r="F27" s="43"/>
      <c r="G27" s="43"/>
      <c r="H27" s="43"/>
      <c r="I27" s="43"/>
      <c r="J27" s="43"/>
      <c r="K27" s="43"/>
      <c r="L27" s="43"/>
      <c r="M27" s="43"/>
      <c r="N27" s="43"/>
      <c r="O27" s="43"/>
    </row>
    <row r="28" spans="1:15" ht="11.25" customHeight="1">
      <c r="A28" s="15"/>
      <c r="B28" s="15" t="s">
        <v>0</v>
      </c>
      <c r="C28" s="16"/>
      <c r="D28" s="16"/>
      <c r="E28" s="16"/>
      <c r="F28" s="16"/>
      <c r="G28" s="16"/>
      <c r="H28" s="16"/>
      <c r="I28" s="16"/>
      <c r="J28" s="16"/>
      <c r="K28" s="16"/>
      <c r="L28" s="16"/>
      <c r="M28" s="16"/>
      <c r="N28" s="16"/>
      <c r="O28" s="16"/>
    </row>
    <row r="29" spans="1:15" ht="12">
      <c r="A29" s="15"/>
      <c r="B29" s="15" t="s">
        <v>32</v>
      </c>
      <c r="C29" s="16"/>
      <c r="D29" s="16"/>
      <c r="E29" s="16"/>
      <c r="F29" s="16"/>
      <c r="G29" s="16"/>
      <c r="H29" s="16"/>
      <c r="I29" s="16"/>
      <c r="J29" s="16"/>
      <c r="K29" s="16"/>
      <c r="L29" s="16"/>
      <c r="M29" s="16"/>
      <c r="N29" s="16"/>
      <c r="O29" s="16"/>
    </row>
  </sheetData>
  <mergeCells count="5">
    <mergeCell ref="B27:O27"/>
    <mergeCell ref="C1:H1"/>
    <mergeCell ref="J1:O1"/>
    <mergeCell ref="C2:H2"/>
    <mergeCell ref="J2:O2"/>
  </mergeCells>
  <printOptions/>
  <pageMargins left="0.75" right="0.75" top="1" bottom="1" header="0.5" footer="0.5"/>
  <pageSetup fitToHeight="1" fitToWidth="1" horizontalDpi="600" verticalDpi="600" orientation="landscape" scale="90"/>
</worksheet>
</file>

<file path=xl/worksheets/sheet13.xml><?xml version="1.0" encoding="utf-8"?>
<worksheet xmlns="http://schemas.openxmlformats.org/spreadsheetml/2006/main" xmlns:r="http://schemas.openxmlformats.org/officeDocument/2006/relationships">
  <sheetPr>
    <pageSetUpPr fitToPage="1"/>
  </sheetPr>
  <dimension ref="A1:O29"/>
  <sheetViews>
    <sheetView workbookViewId="0" topLeftCell="A1">
      <selection activeCell="A1" sqref="A1"/>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7</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96.7</v>
      </c>
      <c r="D5" s="10">
        <v>68.2</v>
      </c>
      <c r="E5" s="10">
        <v>54.5</v>
      </c>
      <c r="F5" s="10">
        <v>44.4</v>
      </c>
      <c r="G5" s="11">
        <f aca="true" t="shared" si="0" ref="G5:G12">(C5*35+D5*30+E5*30)/95</f>
        <v>74.37368421052632</v>
      </c>
      <c r="H5" s="10">
        <f>(C5*35+D5*30+E5*30+F5*5)/100</f>
        <v>72.875</v>
      </c>
      <c r="I5" s="1"/>
      <c r="J5" s="11">
        <v>116.9</v>
      </c>
      <c r="K5" s="11">
        <v>85.2</v>
      </c>
      <c r="L5" s="11">
        <v>69.2</v>
      </c>
      <c r="M5" s="11">
        <v>57.2</v>
      </c>
      <c r="N5" s="11">
        <f aca="true" t="shared" si="1" ref="N5:N12">(J5*35+K5*30+L5*30)/95</f>
        <v>91.82631578947368</v>
      </c>
      <c r="O5" s="10">
        <f>(J5*35+K5*30+L5*30+M5*5)/100</f>
        <v>90.095</v>
      </c>
    </row>
    <row r="6" spans="1:15" ht="12">
      <c r="A6" s="5"/>
      <c r="B6" s="5" t="s">
        <v>51</v>
      </c>
      <c r="C6" s="10">
        <v>94.2</v>
      </c>
      <c r="D6" s="10">
        <v>61.7</v>
      </c>
      <c r="E6" s="10">
        <v>51</v>
      </c>
      <c r="F6" s="10" t="s">
        <v>52</v>
      </c>
      <c r="G6" s="11">
        <f t="shared" si="0"/>
        <v>70.29473684210527</v>
      </c>
      <c r="H6" s="10" t="s">
        <v>52</v>
      </c>
      <c r="I6" s="1"/>
      <c r="J6" s="11">
        <v>119.3</v>
      </c>
      <c r="K6" s="11">
        <v>79.2</v>
      </c>
      <c r="L6" s="11">
        <v>65.4</v>
      </c>
      <c r="M6" s="11" t="s">
        <v>52</v>
      </c>
      <c r="N6" s="11">
        <f t="shared" si="1"/>
        <v>89.61578947368422</v>
      </c>
      <c r="O6" s="10" t="s">
        <v>52</v>
      </c>
    </row>
    <row r="7" spans="1:15" ht="12">
      <c r="A7" s="5"/>
      <c r="B7" s="5" t="s">
        <v>53</v>
      </c>
      <c r="C7" s="10">
        <v>96.5</v>
      </c>
      <c r="D7" s="10">
        <v>65</v>
      </c>
      <c r="E7" s="10">
        <v>51.2</v>
      </c>
      <c r="F7" s="10">
        <v>38.6</v>
      </c>
      <c r="G7" s="11">
        <f t="shared" si="0"/>
        <v>72.24736842105263</v>
      </c>
      <c r="H7" s="10">
        <f>(C7*35+D7*30+E7*30+F7*5)/100</f>
        <v>70.565</v>
      </c>
      <c r="I7" s="1"/>
      <c r="J7" s="11">
        <v>117.4</v>
      </c>
      <c r="K7" s="11">
        <v>81.7</v>
      </c>
      <c r="L7" s="11">
        <v>64.6</v>
      </c>
      <c r="M7" s="11">
        <v>48.8</v>
      </c>
      <c r="N7" s="11">
        <f t="shared" si="1"/>
        <v>89.45263157894736</v>
      </c>
      <c r="O7" s="10">
        <f>(J7*35+K7*30+L7*30+M7*5)/100</f>
        <v>87.42</v>
      </c>
    </row>
    <row r="8" spans="1:15" ht="12">
      <c r="A8" s="5"/>
      <c r="B8" s="5" t="s">
        <v>54</v>
      </c>
      <c r="C8" s="10">
        <v>84.5</v>
      </c>
      <c r="D8" s="10">
        <v>58</v>
      </c>
      <c r="E8" s="10">
        <v>49.3</v>
      </c>
      <c r="F8" s="10" t="s">
        <v>52</v>
      </c>
      <c r="G8" s="11">
        <f t="shared" si="0"/>
        <v>65.01578947368421</v>
      </c>
      <c r="H8" s="10" t="s">
        <v>52</v>
      </c>
      <c r="I8" s="1"/>
      <c r="J8" s="11">
        <v>105</v>
      </c>
      <c r="K8" s="11">
        <v>73.6</v>
      </c>
      <c r="L8" s="11">
        <v>63.2</v>
      </c>
      <c r="M8" s="11" t="s">
        <v>52</v>
      </c>
      <c r="N8" s="11">
        <f t="shared" si="1"/>
        <v>81.88421052631578</v>
      </c>
      <c r="O8" s="10" t="s">
        <v>52</v>
      </c>
    </row>
    <row r="9" spans="1:15" ht="12">
      <c r="A9" s="5"/>
      <c r="B9" s="5" t="s">
        <v>55</v>
      </c>
      <c r="C9" s="10">
        <v>88.7</v>
      </c>
      <c r="D9" s="10">
        <v>65.2</v>
      </c>
      <c r="E9" s="10">
        <v>51.2</v>
      </c>
      <c r="F9" s="10">
        <v>45.6</v>
      </c>
      <c r="G9" s="11">
        <f t="shared" si="0"/>
        <v>69.43684210526315</v>
      </c>
      <c r="H9" s="10">
        <f>(C9*35+D9*30+E9*30+F9*5)/100</f>
        <v>68.245</v>
      </c>
      <c r="I9" s="1"/>
      <c r="J9" s="11">
        <v>104.7</v>
      </c>
      <c r="K9" s="11">
        <v>78</v>
      </c>
      <c r="L9" s="11">
        <v>61.4</v>
      </c>
      <c r="M9" s="11">
        <v>55.1</v>
      </c>
      <c r="N9" s="11">
        <f t="shared" si="1"/>
        <v>82.59473684210526</v>
      </c>
      <c r="O9" s="10">
        <f>(J9*35+K9*30+L9*30+M9*5)/100</f>
        <v>81.22</v>
      </c>
    </row>
    <row r="10" spans="1:15" ht="12">
      <c r="A10" s="5"/>
      <c r="B10" s="5" t="s">
        <v>56</v>
      </c>
      <c r="C10" s="10">
        <v>80.8</v>
      </c>
      <c r="D10" s="10">
        <v>56.6</v>
      </c>
      <c r="E10" s="10">
        <v>45.9</v>
      </c>
      <c r="F10" s="10" t="s">
        <v>52</v>
      </c>
      <c r="G10" s="11">
        <f t="shared" si="0"/>
        <v>62.136842105263156</v>
      </c>
      <c r="H10" s="10" t="s">
        <v>52</v>
      </c>
      <c r="I10" s="1"/>
      <c r="J10" s="11">
        <v>98.1</v>
      </c>
      <c r="K10" s="11">
        <v>71.8</v>
      </c>
      <c r="L10" s="11">
        <v>57</v>
      </c>
      <c r="M10" s="11" t="s">
        <v>52</v>
      </c>
      <c r="N10" s="11">
        <f t="shared" si="1"/>
        <v>76.8157894736842</v>
      </c>
      <c r="O10" s="10" t="s">
        <v>52</v>
      </c>
    </row>
    <row r="11" spans="1:15" ht="12">
      <c r="A11" s="5"/>
      <c r="B11" s="5" t="s">
        <v>57</v>
      </c>
      <c r="C11" s="10">
        <v>79.5</v>
      </c>
      <c r="D11" s="10">
        <v>57.3</v>
      </c>
      <c r="E11" s="10">
        <v>48.2</v>
      </c>
      <c r="F11" s="10">
        <v>38.4</v>
      </c>
      <c r="G11" s="11">
        <f t="shared" si="0"/>
        <v>62.60526315789474</v>
      </c>
      <c r="H11" s="10">
        <f>(C11*35+D11*30+E11*30+F11*5)/100</f>
        <v>61.395</v>
      </c>
      <c r="I11" s="1"/>
      <c r="J11" s="11">
        <v>96.3</v>
      </c>
      <c r="K11" s="11">
        <v>70.5</v>
      </c>
      <c r="L11" s="11">
        <v>59.1</v>
      </c>
      <c r="M11" s="11">
        <v>46.7</v>
      </c>
      <c r="N11" s="11">
        <f t="shared" si="1"/>
        <v>76.40526315789474</v>
      </c>
      <c r="O11" s="10">
        <f>(J11*35+K11*30+L11*30+M11*5)/100</f>
        <v>74.92</v>
      </c>
    </row>
    <row r="12" spans="1:15" ht="12">
      <c r="A12" s="5"/>
      <c r="B12" s="5" t="s">
        <v>58</v>
      </c>
      <c r="C12" s="10">
        <v>75.6</v>
      </c>
      <c r="D12" s="10">
        <v>55.1</v>
      </c>
      <c r="E12" s="10">
        <v>48.1</v>
      </c>
      <c r="F12" s="10">
        <v>40.8</v>
      </c>
      <c r="G12" s="11">
        <f t="shared" si="0"/>
        <v>60.44210526315789</v>
      </c>
      <c r="H12" s="10">
        <f>(C12*35+D12*30+E12*30+F12*5)/100</f>
        <v>59.46</v>
      </c>
      <c r="I12" s="1"/>
      <c r="J12" s="11">
        <v>91.9</v>
      </c>
      <c r="K12" s="11">
        <v>65.1</v>
      </c>
      <c r="L12" s="11">
        <v>57.5</v>
      </c>
      <c r="M12" s="11">
        <v>49.3</v>
      </c>
      <c r="N12" s="11">
        <f t="shared" si="1"/>
        <v>72.57368421052631</v>
      </c>
      <c r="O12" s="10">
        <f>(J12*35+K12*30+L12*30+M12*5)/100</f>
        <v>71.41</v>
      </c>
    </row>
    <row r="13" spans="1:15" ht="12">
      <c r="A13" s="5"/>
      <c r="B13" s="5"/>
      <c r="C13" s="10"/>
      <c r="D13" s="10"/>
      <c r="E13" s="10"/>
      <c r="F13" s="10"/>
      <c r="G13" s="6"/>
      <c r="H13" s="10"/>
      <c r="I13" s="1"/>
      <c r="J13" s="6"/>
      <c r="K13" s="6"/>
      <c r="L13" s="6"/>
      <c r="M13" s="6"/>
      <c r="N13" s="6"/>
      <c r="O13" s="10"/>
    </row>
    <row r="14" spans="1:15" ht="12">
      <c r="A14" s="5"/>
      <c r="B14" s="5" t="s">
        <v>59</v>
      </c>
      <c r="C14" s="10">
        <f>AVERAGE(C5:C12)</f>
        <v>87.0625</v>
      </c>
      <c r="D14" s="10">
        <f>AVERAGE(D5:D12)</f>
        <v>60.88750000000001</v>
      </c>
      <c r="E14" s="10">
        <f>AVERAGE(E5:E12)</f>
        <v>49.925</v>
      </c>
      <c r="F14" s="10">
        <f>AVERAGE(F5:F12)</f>
        <v>41.56</v>
      </c>
      <c r="G14" s="11">
        <f>(C14*35+D14*30+E14*30)/95</f>
        <v>67.06907894736842</v>
      </c>
      <c r="H14" s="10">
        <f>(C14*35+D14*30+E14*30+F14*5)/100</f>
        <v>65.793625</v>
      </c>
      <c r="I14" s="1"/>
      <c r="J14" s="10">
        <f>AVERAGE(J5:J12)</f>
        <v>106.2</v>
      </c>
      <c r="K14" s="10">
        <f>AVERAGE(K5:K12)</f>
        <v>75.6375</v>
      </c>
      <c r="L14" s="10">
        <f>AVERAGE(L5:L12)</f>
        <v>62.175000000000004</v>
      </c>
      <c r="M14" s="10">
        <f>AVERAGE(M5:M12)</f>
        <v>51.42</v>
      </c>
      <c r="N14" s="11">
        <f>(J14*35+K14*30+L14*30)/95</f>
        <v>82.64605263157895</v>
      </c>
      <c r="O14" s="10">
        <f>(J14*35+K14*30+L14*30+M14*5)/100</f>
        <v>81.08475</v>
      </c>
    </row>
    <row r="15" spans="1:15" ht="12">
      <c r="A15" s="5"/>
      <c r="B15" s="5" t="s">
        <v>60</v>
      </c>
      <c r="C15" s="10">
        <f>Ratios!N160/Ratios!I158</f>
        <v>86.52997020008515</v>
      </c>
      <c r="D15" s="10">
        <f>Ratios!O160/Ratios!J158</f>
        <v>60.791952252599145</v>
      </c>
      <c r="E15" s="10">
        <f>Ratios!P160/Ratios!K158</f>
        <v>50.176163873370584</v>
      </c>
      <c r="F15" s="10">
        <f>Ratios!Q160/Ratios!L158</f>
        <v>39.84524886877828</v>
      </c>
      <c r="G15" s="11">
        <f>(C15*35+D15*30+E15*30)/95</f>
        <v>66.92202569244286</v>
      </c>
      <c r="H15" s="10">
        <f>(C15*35+D15*30+E15*30+F15*5)/100</f>
        <v>65.56818685125963</v>
      </c>
      <c r="I15" s="9"/>
      <c r="J15" s="11">
        <f>Ratios!S160/Ratios!I158</f>
        <v>105.29646658152404</v>
      </c>
      <c r="K15" s="11">
        <f>Ratios!T160/Ratios!J158</f>
        <v>75.29226030034656</v>
      </c>
      <c r="L15" s="11">
        <f>Ratios!U160/Ratios!K158</f>
        <v>62.388314711359406</v>
      </c>
      <c r="M15" s="11">
        <f>Ratios!V160/Ratios!L158</f>
        <v>48.64841628959276</v>
      </c>
      <c r="N15" s="11">
        <f>(J15*35+K15*30+L15*30)/95</f>
        <v>82.27151137583705</v>
      </c>
      <c r="O15" s="10">
        <f>(J15*35+K15*30+L15*30+M15*5)/100</f>
        <v>80.59035662152483</v>
      </c>
    </row>
    <row r="16" spans="1:15" ht="12">
      <c r="A16" s="5"/>
      <c r="B16" s="5"/>
      <c r="C16" s="10"/>
      <c r="D16" s="10"/>
      <c r="E16" s="10"/>
      <c r="F16" s="10"/>
      <c r="G16" s="11"/>
      <c r="H16" s="10"/>
      <c r="I16" s="9"/>
      <c r="J16" s="6"/>
      <c r="K16" s="6"/>
      <c r="L16" s="6"/>
      <c r="M16" s="6"/>
      <c r="N16" s="11"/>
      <c r="O16" s="10"/>
    </row>
    <row r="17" spans="1:15" ht="12">
      <c r="A17" s="5"/>
      <c r="B17" s="5" t="s">
        <v>61</v>
      </c>
      <c r="C17" s="10">
        <v>67.4</v>
      </c>
      <c r="D17" s="10">
        <v>50</v>
      </c>
      <c r="E17" s="10">
        <v>44.5</v>
      </c>
      <c r="F17" s="10">
        <v>33.4</v>
      </c>
      <c r="G17" s="11">
        <f>(C17*35+D17*30+E17*30)/95</f>
        <v>54.67368421052632</v>
      </c>
      <c r="H17" s="10">
        <f>(C17*35+D17*30+E17*30+F17*5)/100</f>
        <v>53.61</v>
      </c>
      <c r="I17" s="9"/>
      <c r="J17" s="6">
        <v>83.3</v>
      </c>
      <c r="K17" s="6">
        <v>62.9</v>
      </c>
      <c r="L17" s="11">
        <v>54</v>
      </c>
      <c r="M17" s="6">
        <v>44.3</v>
      </c>
      <c r="N17" s="11">
        <f>(J17*35+K17*30+L17*30)/95</f>
        <v>67.60526315789474</v>
      </c>
      <c r="O17" s="10">
        <f>(J17*35+K17*30+L17*30+M17*5)/100</f>
        <v>66.44</v>
      </c>
    </row>
    <row r="18" spans="1:15" ht="12">
      <c r="A18" s="5"/>
      <c r="B18" s="5"/>
      <c r="C18" s="10"/>
      <c r="D18" s="10"/>
      <c r="E18" s="10"/>
      <c r="F18" s="10"/>
      <c r="G18" s="6"/>
      <c r="H18" s="10"/>
      <c r="I18" s="9"/>
      <c r="J18" s="6"/>
      <c r="K18" s="6"/>
      <c r="L18" s="6"/>
      <c r="M18" s="6"/>
      <c r="N18" s="6"/>
      <c r="O18" s="6"/>
    </row>
    <row r="19" spans="1:15" ht="12">
      <c r="A19" s="5"/>
      <c r="B19" s="12" t="s">
        <v>62</v>
      </c>
      <c r="C19" s="2">
        <f aca="true" t="shared" si="2" ref="C19:H19">C17/C14</f>
        <v>0.7741564967695621</v>
      </c>
      <c r="D19" s="2">
        <f t="shared" si="2"/>
        <v>0.821186614658181</v>
      </c>
      <c r="E19" s="2">
        <f t="shared" si="2"/>
        <v>0.8913370055082624</v>
      </c>
      <c r="F19" s="2">
        <f t="shared" si="2"/>
        <v>0.8036573628488931</v>
      </c>
      <c r="G19" s="2">
        <f t="shared" si="2"/>
        <v>0.8151846583942322</v>
      </c>
      <c r="H19" s="2">
        <f t="shared" si="2"/>
        <v>0.8148205848210978</v>
      </c>
      <c r="I19" s="13"/>
      <c r="J19" s="2">
        <f aca="true" t="shared" si="3" ref="J19:O19">J17/J14</f>
        <v>0.7843691148775894</v>
      </c>
      <c r="K19" s="2">
        <f t="shared" si="3"/>
        <v>0.831598082961494</v>
      </c>
      <c r="L19" s="2">
        <f t="shared" si="3"/>
        <v>0.8685162846803377</v>
      </c>
      <c r="M19" s="2">
        <f t="shared" si="3"/>
        <v>0.8615324776351614</v>
      </c>
      <c r="N19" s="2">
        <f t="shared" si="3"/>
        <v>0.8180095843084809</v>
      </c>
      <c r="O19" s="2">
        <f t="shared" si="3"/>
        <v>0.8193895892877514</v>
      </c>
    </row>
    <row r="20" spans="1:15" ht="12">
      <c r="A20" s="5"/>
      <c r="B20" s="5"/>
      <c r="C20" s="10"/>
      <c r="D20" s="10"/>
      <c r="E20" s="10"/>
      <c r="F20" s="10"/>
      <c r="G20" s="6"/>
      <c r="H20" s="6"/>
      <c r="I20" s="9"/>
      <c r="J20" s="6"/>
      <c r="K20" s="6"/>
      <c r="L20" s="6"/>
      <c r="M20" s="6"/>
      <c r="N20" s="6"/>
      <c r="O20" s="14"/>
    </row>
    <row r="21" spans="1:15" ht="12">
      <c r="A21" s="5"/>
      <c r="B21" s="5" t="s">
        <v>63</v>
      </c>
      <c r="C21" s="3">
        <f>'1997-98'!C19</f>
        <v>0.7770392749244712</v>
      </c>
      <c r="D21" s="3">
        <f>'1997-98'!D19</f>
        <v>0.8512842650550398</v>
      </c>
      <c r="E21" s="3">
        <f>'1997-98'!E19</f>
        <v>0.8814795519666578</v>
      </c>
      <c r="F21" s="3">
        <f>'1997-98'!F19</f>
        <v>0.8529542425588628</v>
      </c>
      <c r="G21" s="3">
        <f>'1997-98'!G19</f>
        <v>0.8230354423084839</v>
      </c>
      <c r="H21" s="3">
        <f>'1997-98'!H19</f>
        <v>0.8239318514574738</v>
      </c>
      <c r="I21" s="4"/>
      <c r="J21" s="3">
        <f>'1997-98'!J19</f>
        <v>0.7906114885731934</v>
      </c>
      <c r="K21" s="3">
        <f>'1997-98'!K19</f>
        <v>0.848736587054344</v>
      </c>
      <c r="L21" s="3">
        <f>'1997-98'!L19</f>
        <v>0.8844388819357529</v>
      </c>
      <c r="M21" s="3">
        <f>'1997-98'!M19</f>
        <v>0.9162248144220574</v>
      </c>
      <c r="N21" s="3">
        <f>'1997-98'!N19</f>
        <v>0.8298625277900364</v>
      </c>
      <c r="O21" s="3">
        <f>'1997-98'!O19</f>
        <v>0.832492391155172</v>
      </c>
    </row>
    <row r="22" spans="1:15" ht="12">
      <c r="A22" s="5"/>
      <c r="B22" s="5"/>
      <c r="C22" s="10"/>
      <c r="D22" s="10"/>
      <c r="E22" s="10"/>
      <c r="F22" s="6"/>
      <c r="G22" s="6"/>
      <c r="H22" s="6"/>
      <c r="I22" s="9"/>
      <c r="J22" s="6"/>
      <c r="K22" s="6"/>
      <c r="L22" s="6"/>
      <c r="M22" s="6"/>
      <c r="N22" s="6"/>
      <c r="O22" s="14"/>
    </row>
    <row r="23" spans="1:15" ht="12">
      <c r="A23" s="5"/>
      <c r="B23" s="5" t="s">
        <v>64</v>
      </c>
      <c r="C23" s="14">
        <f aca="true" t="shared" si="4" ref="C23:H23">C19-C21</f>
        <v>-0.002882778154909116</v>
      </c>
      <c r="D23" s="14">
        <f t="shared" si="4"/>
        <v>-0.030097650396858855</v>
      </c>
      <c r="E23" s="14">
        <f t="shared" si="4"/>
        <v>0.00985745354160461</v>
      </c>
      <c r="F23" s="14">
        <f t="shared" si="4"/>
        <v>-0.049296879709969654</v>
      </c>
      <c r="G23" s="14">
        <f t="shared" si="4"/>
        <v>-0.007850783914251758</v>
      </c>
      <c r="H23" s="14">
        <f t="shared" si="4"/>
        <v>-0.00911126663637607</v>
      </c>
      <c r="I23" s="9"/>
      <c r="J23" s="14">
        <f aca="true" t="shared" si="5" ref="J23:O23">J19-J21</f>
        <v>-0.006242373695603987</v>
      </c>
      <c r="K23" s="14">
        <f t="shared" si="5"/>
        <v>-0.017138504092850004</v>
      </c>
      <c r="L23" s="14">
        <f t="shared" si="5"/>
        <v>-0.015922597255415227</v>
      </c>
      <c r="M23" s="14">
        <f t="shared" si="5"/>
        <v>-0.054692336786896</v>
      </c>
      <c r="N23" s="14">
        <f t="shared" si="5"/>
        <v>-0.011852943481555522</v>
      </c>
      <c r="O23" s="14">
        <f t="shared" si="5"/>
        <v>-0.013102801867420633</v>
      </c>
    </row>
    <row r="24" spans="1:15" ht="12">
      <c r="A24" s="5"/>
      <c r="B24" s="5"/>
      <c r="C24" s="6"/>
      <c r="D24" s="6"/>
      <c r="E24" s="6"/>
      <c r="F24" s="6"/>
      <c r="G24" s="6"/>
      <c r="H24" s="6"/>
      <c r="I24" s="9"/>
      <c r="J24" s="6"/>
      <c r="K24" s="6"/>
      <c r="L24" s="6"/>
      <c r="M24" s="6"/>
      <c r="N24" s="6"/>
      <c r="O24" s="6"/>
    </row>
    <row r="25" spans="1:15" ht="12">
      <c r="A25" s="15"/>
      <c r="B25" s="15" t="s">
        <v>65</v>
      </c>
      <c r="C25" s="15"/>
      <c r="D25" s="15"/>
      <c r="E25" s="15"/>
      <c r="F25" s="15"/>
      <c r="G25" s="15"/>
      <c r="H25" s="15"/>
      <c r="I25" s="15"/>
      <c r="J25" s="15"/>
      <c r="K25" s="15"/>
      <c r="L25" s="15"/>
      <c r="M25" s="15"/>
      <c r="N25" s="15"/>
      <c r="O25" s="15"/>
    </row>
    <row r="26" spans="1:15" ht="12">
      <c r="A26" s="15"/>
      <c r="B26" s="15" t="s">
        <v>66</v>
      </c>
      <c r="C26" s="16"/>
      <c r="D26" s="16"/>
      <c r="E26" s="16"/>
      <c r="F26" s="16"/>
      <c r="G26" s="16"/>
      <c r="H26" s="16"/>
      <c r="I26" s="16"/>
      <c r="J26" s="16"/>
      <c r="K26" s="16"/>
      <c r="L26" s="16"/>
      <c r="M26" s="16"/>
      <c r="N26" s="16"/>
      <c r="O26" s="16"/>
    </row>
    <row r="27" spans="1:15" ht="34.5" customHeight="1">
      <c r="A27" s="15"/>
      <c r="B27" s="43" t="s">
        <v>67</v>
      </c>
      <c r="C27" s="43"/>
      <c r="D27" s="43"/>
      <c r="E27" s="43"/>
      <c r="F27" s="43"/>
      <c r="G27" s="43"/>
      <c r="H27" s="43"/>
      <c r="I27" s="43"/>
      <c r="J27" s="43"/>
      <c r="K27" s="43"/>
      <c r="L27" s="43"/>
      <c r="M27" s="43"/>
      <c r="N27" s="43"/>
      <c r="O27" s="43"/>
    </row>
    <row r="28" spans="1:15" ht="11.25" customHeight="1">
      <c r="A28" s="15"/>
      <c r="B28" s="15" t="s">
        <v>0</v>
      </c>
      <c r="C28" s="16"/>
      <c r="D28" s="16"/>
      <c r="E28" s="16"/>
      <c r="F28" s="16"/>
      <c r="G28" s="16"/>
      <c r="H28" s="16"/>
      <c r="I28" s="16"/>
      <c r="J28" s="16"/>
      <c r="K28" s="16"/>
      <c r="L28" s="16"/>
      <c r="M28" s="16"/>
      <c r="N28" s="16"/>
      <c r="O28" s="16"/>
    </row>
    <row r="29" spans="1:15" ht="12">
      <c r="A29" s="15"/>
      <c r="B29" s="15" t="s">
        <v>32</v>
      </c>
      <c r="C29" s="16"/>
      <c r="D29" s="16"/>
      <c r="E29" s="16"/>
      <c r="F29" s="16"/>
      <c r="G29" s="16"/>
      <c r="H29" s="16"/>
      <c r="I29" s="16"/>
      <c r="J29" s="16"/>
      <c r="K29" s="16"/>
      <c r="L29" s="16"/>
      <c r="M29" s="16"/>
      <c r="N29" s="16"/>
      <c r="O29" s="16"/>
    </row>
  </sheetData>
  <mergeCells count="5">
    <mergeCell ref="B27:O27"/>
    <mergeCell ref="C1:H1"/>
    <mergeCell ref="J1:O1"/>
    <mergeCell ref="C2:H2"/>
    <mergeCell ref="J2:O2"/>
  </mergeCells>
  <printOptions/>
  <pageMargins left="0.75" right="0.75" top="1" bottom="1" header="0.5" footer="0.5"/>
  <pageSetup fitToHeight="1" fitToWidth="1" horizontalDpi="600" verticalDpi="600" orientation="landscape" scale="90"/>
</worksheet>
</file>

<file path=xl/worksheets/sheet14.xml><?xml version="1.0" encoding="utf-8"?>
<worksheet xmlns="http://schemas.openxmlformats.org/spreadsheetml/2006/main" xmlns:r="http://schemas.openxmlformats.org/officeDocument/2006/relationships">
  <sheetPr>
    <pageSetUpPr fitToPage="1"/>
  </sheetPr>
  <dimension ref="A1:O29"/>
  <sheetViews>
    <sheetView workbookViewId="0" topLeftCell="A1">
      <selection activeCell="A1" sqref="A1"/>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8</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91.9</v>
      </c>
      <c r="D5" s="10">
        <v>65.9</v>
      </c>
      <c r="E5" s="10">
        <v>53</v>
      </c>
      <c r="F5" s="10">
        <v>42.3</v>
      </c>
      <c r="G5" s="11">
        <f aca="true" t="shared" si="0" ref="G5:G12">(C5*35+D5*30+E5*30)/95</f>
        <v>71.40526315789474</v>
      </c>
      <c r="H5" s="10">
        <f>(C5*35+D5*30+E5*30+F5*5)/100</f>
        <v>69.95</v>
      </c>
      <c r="I5" s="1"/>
      <c r="J5" s="11">
        <v>111.1</v>
      </c>
      <c r="K5" s="11">
        <v>82.2</v>
      </c>
      <c r="L5" s="11">
        <v>67.2</v>
      </c>
      <c r="M5" s="11">
        <v>54.6</v>
      </c>
      <c r="N5" s="11">
        <f aca="true" t="shared" si="1" ref="N5:N12">(J5*35+K5*30+L5*30)/95</f>
        <v>88.11052631578947</v>
      </c>
      <c r="O5" s="10">
        <f>(J5*35+K5*30+L5*30+M5*5)/100</f>
        <v>86.435</v>
      </c>
    </row>
    <row r="6" spans="1:15" ht="12">
      <c r="A6" s="5"/>
      <c r="B6" s="5" t="s">
        <v>51</v>
      </c>
      <c r="C6" s="10">
        <v>86.2</v>
      </c>
      <c r="D6" s="10">
        <v>56.2</v>
      </c>
      <c r="E6" s="10">
        <v>47.2</v>
      </c>
      <c r="F6" s="10" t="s">
        <v>52</v>
      </c>
      <c r="G6" s="11">
        <f t="shared" si="0"/>
        <v>64.41052631578947</v>
      </c>
      <c r="H6" s="10" t="s">
        <v>52</v>
      </c>
      <c r="I6" s="1"/>
      <c r="J6" s="11">
        <v>109.6</v>
      </c>
      <c r="K6" s="11">
        <v>72.3</v>
      </c>
      <c r="L6" s="11">
        <v>60.8</v>
      </c>
      <c r="M6" s="11" t="s">
        <v>52</v>
      </c>
      <c r="N6" s="11">
        <f t="shared" si="1"/>
        <v>82.41052631578947</v>
      </c>
      <c r="O6" s="10" t="s">
        <v>52</v>
      </c>
    </row>
    <row r="7" spans="1:15" ht="12">
      <c r="A7" s="5"/>
      <c r="B7" s="5" t="s">
        <v>53</v>
      </c>
      <c r="C7" s="10">
        <v>90.9</v>
      </c>
      <c r="D7" s="10">
        <v>61.3</v>
      </c>
      <c r="E7" s="10">
        <v>48.9</v>
      </c>
      <c r="F7" s="10">
        <v>36.3</v>
      </c>
      <c r="G7" s="11">
        <f t="shared" si="0"/>
        <v>68.28947368421052</v>
      </c>
      <c r="H7" s="10">
        <f>(C7*35+D7*30+E7*30+F7*5)/100</f>
        <v>66.69</v>
      </c>
      <c r="I7" s="1"/>
      <c r="J7" s="11">
        <v>109.6</v>
      </c>
      <c r="K7" s="11">
        <v>76.3</v>
      </c>
      <c r="L7" s="11">
        <v>61</v>
      </c>
      <c r="M7" s="11">
        <v>44.8</v>
      </c>
      <c r="N7" s="11">
        <f t="shared" si="1"/>
        <v>83.73684210526316</v>
      </c>
      <c r="O7" s="10">
        <f>(J7*35+K7*30+L7*30+M7*5)/100</f>
        <v>81.79</v>
      </c>
    </row>
    <row r="8" spans="1:15" ht="12">
      <c r="A8" s="5"/>
      <c r="B8" s="5" t="s">
        <v>54</v>
      </c>
      <c r="C8" s="10">
        <v>80.7</v>
      </c>
      <c r="D8" s="10">
        <v>55.9</v>
      </c>
      <c r="E8" s="10">
        <v>48.4</v>
      </c>
      <c r="F8" s="10">
        <v>38.9</v>
      </c>
      <c r="G8" s="11">
        <f t="shared" si="0"/>
        <v>62.66842105263158</v>
      </c>
      <c r="H8" s="10" t="s">
        <v>52</v>
      </c>
      <c r="I8" s="1"/>
      <c r="J8" s="11">
        <v>99.2</v>
      </c>
      <c r="K8" s="11">
        <v>70.4</v>
      </c>
      <c r="L8" s="11">
        <v>61.4</v>
      </c>
      <c r="M8" s="11">
        <v>49.8</v>
      </c>
      <c r="N8" s="11">
        <f t="shared" si="1"/>
        <v>78.16842105263157</v>
      </c>
      <c r="O8" s="10" t="s">
        <v>52</v>
      </c>
    </row>
    <row r="9" spans="1:15" ht="12">
      <c r="A9" s="5"/>
      <c r="B9" s="5" t="s">
        <v>55</v>
      </c>
      <c r="C9" s="10">
        <v>86</v>
      </c>
      <c r="D9" s="10">
        <v>61.8</v>
      </c>
      <c r="E9" s="10">
        <v>49.2</v>
      </c>
      <c r="F9" s="10">
        <v>39</v>
      </c>
      <c r="G9" s="11">
        <f t="shared" si="0"/>
        <v>66.73684210526316</v>
      </c>
      <c r="H9" s="10">
        <f>(C9*35+D9*30+E9*30+F9*5)/100</f>
        <v>65.35</v>
      </c>
      <c r="I9" s="1"/>
      <c r="J9" s="11">
        <v>101.6</v>
      </c>
      <c r="K9" s="11">
        <v>74</v>
      </c>
      <c r="L9" s="11">
        <v>59.2</v>
      </c>
      <c r="M9" s="11">
        <v>47.5</v>
      </c>
      <c r="N9" s="11">
        <f t="shared" si="1"/>
        <v>79.49473684210527</v>
      </c>
      <c r="O9" s="10">
        <f>(J9*35+K9*30+L9*30+M9*5)/100</f>
        <v>77.895</v>
      </c>
    </row>
    <row r="10" spans="1:15" ht="12">
      <c r="A10" s="5"/>
      <c r="B10" s="5" t="s">
        <v>56</v>
      </c>
      <c r="C10" s="10">
        <v>77.4</v>
      </c>
      <c r="D10" s="10">
        <v>54.2</v>
      </c>
      <c r="E10" s="10">
        <v>43.6</v>
      </c>
      <c r="F10" s="10" t="s">
        <v>52</v>
      </c>
      <c r="G10" s="11">
        <f t="shared" si="0"/>
        <v>59.4</v>
      </c>
      <c r="H10" s="10" t="s">
        <v>52</v>
      </c>
      <c r="I10" s="1"/>
      <c r="J10" s="11">
        <v>96.3</v>
      </c>
      <c r="K10" s="11">
        <v>68.7</v>
      </c>
      <c r="L10" s="11">
        <v>54.8</v>
      </c>
      <c r="M10" s="11" t="s">
        <v>52</v>
      </c>
      <c r="N10" s="11">
        <f t="shared" si="1"/>
        <v>74.47894736842105</v>
      </c>
      <c r="O10" s="10" t="s">
        <v>52</v>
      </c>
    </row>
    <row r="11" spans="1:15" ht="12">
      <c r="A11" s="5"/>
      <c r="B11" s="5" t="s">
        <v>57</v>
      </c>
      <c r="C11" s="10">
        <v>75.9</v>
      </c>
      <c r="D11" s="10">
        <v>55.1</v>
      </c>
      <c r="E11" s="10">
        <v>46</v>
      </c>
      <c r="F11" s="10">
        <v>36.7</v>
      </c>
      <c r="G11" s="11">
        <f t="shared" si="0"/>
        <v>59.88947368421053</v>
      </c>
      <c r="H11" s="10">
        <f>(C11*35+D11*30+E11*30+F11*5)/100</f>
        <v>58.73</v>
      </c>
      <c r="I11" s="1"/>
      <c r="J11" s="11">
        <v>92.6</v>
      </c>
      <c r="K11" s="11">
        <v>68.2</v>
      </c>
      <c r="L11" s="11">
        <v>56.8</v>
      </c>
      <c r="M11" s="11">
        <v>45.6</v>
      </c>
      <c r="N11" s="11">
        <f t="shared" si="1"/>
        <v>73.58947368421053</v>
      </c>
      <c r="O11" s="10">
        <f>(J11*35+K11*30+L11*30+M11*5)/100</f>
        <v>72.19</v>
      </c>
    </row>
    <row r="12" spans="1:15" ht="12">
      <c r="A12" s="5"/>
      <c r="B12" s="5" t="s">
        <v>58</v>
      </c>
      <c r="C12" s="10">
        <v>73</v>
      </c>
      <c r="D12" s="10">
        <v>52.9</v>
      </c>
      <c r="E12" s="10">
        <v>47.6</v>
      </c>
      <c r="F12" s="10">
        <v>31.9</v>
      </c>
      <c r="G12" s="11">
        <f t="shared" si="0"/>
        <v>58.63157894736842</v>
      </c>
      <c r="H12" s="10">
        <f>(C12*35+D12*30+E12*30+F12*5)/100</f>
        <v>57.295</v>
      </c>
      <c r="I12" s="1"/>
      <c r="J12" s="11">
        <v>89.5</v>
      </c>
      <c r="K12" s="11">
        <v>65.7</v>
      </c>
      <c r="L12" s="11">
        <v>58.2</v>
      </c>
      <c r="M12" s="11">
        <v>40.6</v>
      </c>
      <c r="N12" s="11">
        <f t="shared" si="1"/>
        <v>72.1</v>
      </c>
      <c r="O12" s="10">
        <f>(J12*35+K12*30+L12*30+M12*5)/100</f>
        <v>70.525</v>
      </c>
    </row>
    <row r="13" spans="1:15" ht="12">
      <c r="A13" s="5"/>
      <c r="B13" s="5"/>
      <c r="C13" s="10"/>
      <c r="D13" s="10"/>
      <c r="E13" s="10"/>
      <c r="F13" s="10"/>
      <c r="G13" s="6"/>
      <c r="H13" s="10"/>
      <c r="I13" s="1"/>
      <c r="J13" s="6"/>
      <c r="K13" s="6"/>
      <c r="L13" s="6"/>
      <c r="M13" s="6"/>
      <c r="N13" s="6"/>
      <c r="O13" s="10"/>
    </row>
    <row r="14" spans="1:15" ht="12">
      <c r="A14" s="5"/>
      <c r="B14" s="5" t="s">
        <v>59</v>
      </c>
      <c r="C14" s="10">
        <f>AVERAGE(C5:C12)</f>
        <v>82.75</v>
      </c>
      <c r="D14" s="10">
        <f>AVERAGE(D5:D12)</f>
        <v>57.9125</v>
      </c>
      <c r="E14" s="10">
        <f>AVERAGE(E5:E12)</f>
        <v>47.987500000000004</v>
      </c>
      <c r="F14" s="10">
        <f>AVERAGE(F5:F12)</f>
        <v>37.516666666666666</v>
      </c>
      <c r="G14" s="11">
        <f>(C14*35+D14*30+E14*30)/95</f>
        <v>63.92894736842105</v>
      </c>
      <c r="H14" s="10">
        <f>(C14*35+D14*30+E14*30+F14*5)/100</f>
        <v>62.60833333333333</v>
      </c>
      <c r="I14" s="1"/>
      <c r="J14" s="10">
        <f>AVERAGE(J5:J12)</f>
        <v>101.18749999999999</v>
      </c>
      <c r="K14" s="10">
        <f>AVERAGE(K5:K12)</f>
        <v>72.22500000000001</v>
      </c>
      <c r="L14" s="10">
        <f>AVERAGE(L5:L12)</f>
        <v>59.925000000000004</v>
      </c>
      <c r="M14" s="10">
        <f>AVERAGE(M5:M12)</f>
        <v>47.15</v>
      </c>
      <c r="N14" s="11">
        <f>(J14*35+K14*30+L14*30)/95</f>
        <v>79.01118421052631</v>
      </c>
      <c r="O14" s="10">
        <f>(J14*35+K14*30+L14*30+M14*5)/100</f>
        <v>77.418125</v>
      </c>
    </row>
    <row r="15" spans="1:15" ht="12">
      <c r="A15" s="5"/>
      <c r="B15" s="5" t="s">
        <v>60</v>
      </c>
      <c r="C15" s="10">
        <f>Ratios!N176/Ratios!I174</f>
        <v>82.3943372216331</v>
      </c>
      <c r="D15" s="10">
        <f>Ratios!O176/Ratios!J174</f>
        <v>58.07180085569817</v>
      </c>
      <c r="E15" s="10">
        <f>Ratios!P176/Ratios!K174</f>
        <v>48.35825958702065</v>
      </c>
      <c r="F15" s="10">
        <f>Ratios!Q176/Ratios!L174</f>
        <v>37.0632183908046</v>
      </c>
      <c r="G15" s="11">
        <f>(C15*35+D15*30+E15*30)/95</f>
        <v>63.965301221460244</v>
      </c>
      <c r="H15" s="10">
        <f>(C15*35+D15*30+E15*30+F15*5)/100</f>
        <v>62.620197079927465</v>
      </c>
      <c r="I15" s="9"/>
      <c r="J15" s="11">
        <f>Ratios!S176/Ratios!I174</f>
        <v>100.55618239660657</v>
      </c>
      <c r="K15" s="11">
        <f>Ratios!T176/Ratios!J174</f>
        <v>72.34928043562817</v>
      </c>
      <c r="L15" s="11">
        <f>Ratios!U176/Ratios!K174</f>
        <v>60.35673549655851</v>
      </c>
      <c r="M15" s="11">
        <f>Ratios!V176/Ratios!L174</f>
        <v>46.28735632183908</v>
      </c>
      <c r="N15" s="11">
        <f>(J15*35+K15*30+L15*30)/95</f>
        <v>78.95417749312455</v>
      </c>
      <c r="O15" s="10">
        <f>(J15*35+K15*30+L15*30+M15*5)/100</f>
        <v>77.32083643456026</v>
      </c>
    </row>
    <row r="16" spans="1:15" ht="12">
      <c r="A16" s="5"/>
      <c r="B16" s="5"/>
      <c r="C16" s="10"/>
      <c r="D16" s="10"/>
      <c r="E16" s="10"/>
      <c r="F16" s="10"/>
      <c r="G16" s="11"/>
      <c r="H16" s="10"/>
      <c r="I16" s="9"/>
      <c r="J16" s="6"/>
      <c r="K16" s="6"/>
      <c r="L16" s="6"/>
      <c r="M16" s="6"/>
      <c r="N16" s="11"/>
      <c r="O16" s="10"/>
    </row>
    <row r="17" spans="1:15" ht="12">
      <c r="A17" s="5"/>
      <c r="B17" s="5" t="s">
        <v>61</v>
      </c>
      <c r="C17" s="10">
        <v>64.3</v>
      </c>
      <c r="D17" s="10">
        <v>49.3</v>
      </c>
      <c r="E17" s="10">
        <v>42.3</v>
      </c>
      <c r="F17" s="10">
        <v>32</v>
      </c>
      <c r="G17" s="11">
        <f>(C17*35+D17*30+E17*30)/95</f>
        <v>52.61578947368421</v>
      </c>
      <c r="H17" s="10">
        <f>(C17*35+D17*30+E17*30+F17*5)/100</f>
        <v>51.585</v>
      </c>
      <c r="I17" s="9"/>
      <c r="J17" s="11">
        <v>80</v>
      </c>
      <c r="K17" s="6">
        <v>61.3</v>
      </c>
      <c r="L17" s="11">
        <v>53</v>
      </c>
      <c r="M17" s="6">
        <v>43.2</v>
      </c>
      <c r="N17" s="11">
        <f>(J17*35+K17*30+L17*30)/95</f>
        <v>65.56842105263158</v>
      </c>
      <c r="O17" s="10">
        <f>(J17*35+K17*30+L17*30+M17*5)/100</f>
        <v>64.45</v>
      </c>
    </row>
    <row r="18" spans="1:15" ht="12">
      <c r="A18" s="5"/>
      <c r="B18" s="5"/>
      <c r="C18" s="10"/>
      <c r="D18" s="10"/>
      <c r="E18" s="10"/>
      <c r="F18" s="10"/>
      <c r="G18" s="6"/>
      <c r="H18" s="10"/>
      <c r="I18" s="9"/>
      <c r="J18" s="6"/>
      <c r="K18" s="6"/>
      <c r="L18" s="6"/>
      <c r="M18" s="6"/>
      <c r="N18" s="6"/>
      <c r="O18" s="6"/>
    </row>
    <row r="19" spans="1:15" ht="12">
      <c r="A19" s="5"/>
      <c r="B19" s="12" t="s">
        <v>62</v>
      </c>
      <c r="C19" s="2">
        <f aca="true" t="shared" si="2" ref="C19:H19">C17/C14</f>
        <v>0.7770392749244712</v>
      </c>
      <c r="D19" s="2">
        <f t="shared" si="2"/>
        <v>0.8512842650550398</v>
      </c>
      <c r="E19" s="2">
        <f t="shared" si="2"/>
        <v>0.8814795519666578</v>
      </c>
      <c r="F19" s="2">
        <f t="shared" si="2"/>
        <v>0.8529542425588628</v>
      </c>
      <c r="G19" s="2">
        <f t="shared" si="2"/>
        <v>0.8230354423084839</v>
      </c>
      <c r="H19" s="2">
        <f t="shared" si="2"/>
        <v>0.8239318514574738</v>
      </c>
      <c r="I19" s="13"/>
      <c r="J19" s="2">
        <f aca="true" t="shared" si="3" ref="J19:O19">J17/J14</f>
        <v>0.7906114885731934</v>
      </c>
      <c r="K19" s="2">
        <f t="shared" si="3"/>
        <v>0.848736587054344</v>
      </c>
      <c r="L19" s="2">
        <f t="shared" si="3"/>
        <v>0.8844388819357529</v>
      </c>
      <c r="M19" s="2">
        <f t="shared" si="3"/>
        <v>0.9162248144220574</v>
      </c>
      <c r="N19" s="2">
        <f t="shared" si="3"/>
        <v>0.8298625277900364</v>
      </c>
      <c r="O19" s="2">
        <f t="shared" si="3"/>
        <v>0.832492391155172</v>
      </c>
    </row>
    <row r="20" spans="1:15" ht="12">
      <c r="A20" s="5"/>
      <c r="B20" s="5"/>
      <c r="C20" s="10"/>
      <c r="D20" s="10"/>
      <c r="E20" s="10"/>
      <c r="F20" s="10"/>
      <c r="G20" s="6"/>
      <c r="H20" s="6"/>
      <c r="I20" s="9"/>
      <c r="J20" s="6"/>
      <c r="K20" s="6"/>
      <c r="L20" s="6"/>
      <c r="M20" s="6"/>
      <c r="N20" s="6"/>
      <c r="O20" s="14"/>
    </row>
    <row r="21" spans="1:15" ht="12">
      <c r="A21" s="5"/>
      <c r="B21" s="5" t="s">
        <v>63</v>
      </c>
      <c r="C21" s="3">
        <f>'1996-97'!C19</f>
        <v>0.7640164713335444</v>
      </c>
      <c r="D21" s="3">
        <f>'1996-97'!D19</f>
        <v>0.8136813681368138</v>
      </c>
      <c r="E21" s="3">
        <f>'1996-97'!E19</f>
        <v>0.8259587020648969</v>
      </c>
      <c r="F21" s="3">
        <f>'1996-97'!F19</f>
        <v>0.7690933452434121</v>
      </c>
      <c r="G21" s="3">
        <f>'1996-97'!G19</f>
        <v>0.7930842163970999</v>
      </c>
      <c r="H21" s="3">
        <f>'1996-97'!H19</f>
        <v>0.7923398830474185</v>
      </c>
      <c r="I21" s="4"/>
      <c r="J21" s="3">
        <f>'1996-97'!J19</f>
        <v>0.7797311271975182</v>
      </c>
      <c r="K21" s="3">
        <f>'1996-97'!K19</f>
        <v>0.8457437028865599</v>
      </c>
      <c r="L21" s="3">
        <f>'1996-97'!L19</f>
        <v>0.8180476491671937</v>
      </c>
      <c r="M21" s="3">
        <f>'1996-97'!M19</f>
        <v>0.8312993539124192</v>
      </c>
      <c r="N21" s="3">
        <f>'1996-97'!N19</f>
        <v>0.807885876922009</v>
      </c>
      <c r="O21" s="3">
        <f>'1996-97'!O19</f>
        <v>0.8086169986213697</v>
      </c>
    </row>
    <row r="22" spans="1:15" ht="12">
      <c r="A22" s="5"/>
      <c r="B22" s="5"/>
      <c r="C22" s="10"/>
      <c r="D22" s="10"/>
      <c r="E22" s="10"/>
      <c r="F22" s="6"/>
      <c r="G22" s="6"/>
      <c r="H22" s="6"/>
      <c r="I22" s="9"/>
      <c r="J22" s="6"/>
      <c r="K22" s="6"/>
      <c r="L22" s="6"/>
      <c r="M22" s="6"/>
      <c r="N22" s="6"/>
      <c r="O22" s="14"/>
    </row>
    <row r="23" spans="1:15" ht="12">
      <c r="A23" s="5"/>
      <c r="B23" s="5" t="s">
        <v>64</v>
      </c>
      <c r="C23" s="14">
        <f aca="true" t="shared" si="4" ref="C23:H23">C19-C21</f>
        <v>0.01302280359092678</v>
      </c>
      <c r="D23" s="14">
        <f t="shared" si="4"/>
        <v>0.03760289691822605</v>
      </c>
      <c r="E23" s="14">
        <f t="shared" si="4"/>
        <v>0.05552084990176098</v>
      </c>
      <c r="F23" s="14">
        <f t="shared" si="4"/>
        <v>0.08386089731545066</v>
      </c>
      <c r="G23" s="14">
        <f t="shared" si="4"/>
        <v>0.029951225911383994</v>
      </c>
      <c r="H23" s="14">
        <f t="shared" si="4"/>
        <v>0.03159196841005529</v>
      </c>
      <c r="I23" s="9"/>
      <c r="J23" s="14">
        <f aca="true" t="shared" si="5" ref="J23:O23">J19-J21</f>
        <v>0.010880361375675163</v>
      </c>
      <c r="K23" s="14">
        <f t="shared" si="5"/>
        <v>0.0029928841677840934</v>
      </c>
      <c r="L23" s="14">
        <f t="shared" si="5"/>
        <v>0.06639123276855918</v>
      </c>
      <c r="M23" s="14">
        <f t="shared" si="5"/>
        <v>0.08492546050963823</v>
      </c>
      <c r="N23" s="14">
        <f t="shared" si="5"/>
        <v>0.02197665086802747</v>
      </c>
      <c r="O23" s="14">
        <f t="shared" si="5"/>
        <v>0.02387539253380233</v>
      </c>
    </row>
    <row r="24" spans="1:15" ht="12">
      <c r="A24" s="5"/>
      <c r="B24" s="5"/>
      <c r="C24" s="6"/>
      <c r="D24" s="6"/>
      <c r="E24" s="6"/>
      <c r="F24" s="6"/>
      <c r="G24" s="6"/>
      <c r="H24" s="6"/>
      <c r="I24" s="9"/>
      <c r="J24" s="6"/>
      <c r="K24" s="6"/>
      <c r="L24" s="6"/>
      <c r="M24" s="6"/>
      <c r="N24" s="6"/>
      <c r="O24" s="6"/>
    </row>
    <row r="25" spans="1:15" ht="12">
      <c r="A25" s="15"/>
      <c r="B25" s="15" t="s">
        <v>65</v>
      </c>
      <c r="C25" s="15"/>
      <c r="D25" s="15"/>
      <c r="E25" s="15"/>
      <c r="F25" s="15"/>
      <c r="G25" s="15"/>
      <c r="H25" s="15"/>
      <c r="I25" s="15"/>
      <c r="J25" s="15"/>
      <c r="K25" s="15"/>
      <c r="L25" s="15"/>
      <c r="M25" s="15"/>
      <c r="N25" s="15"/>
      <c r="O25" s="15"/>
    </row>
    <row r="26" spans="1:15" ht="12">
      <c r="A26" s="15"/>
      <c r="B26" s="15" t="s">
        <v>66</v>
      </c>
      <c r="C26" s="16"/>
      <c r="D26" s="16"/>
      <c r="E26" s="16"/>
      <c r="F26" s="16"/>
      <c r="G26" s="16"/>
      <c r="H26" s="16"/>
      <c r="I26" s="16"/>
      <c r="J26" s="16"/>
      <c r="K26" s="16"/>
      <c r="L26" s="16"/>
      <c r="M26" s="16"/>
      <c r="N26" s="16"/>
      <c r="O26" s="16"/>
    </row>
    <row r="27" spans="1:15" ht="34.5" customHeight="1">
      <c r="A27" s="15"/>
      <c r="B27" s="43" t="s">
        <v>67</v>
      </c>
      <c r="C27" s="43"/>
      <c r="D27" s="43"/>
      <c r="E27" s="43"/>
      <c r="F27" s="43"/>
      <c r="G27" s="43"/>
      <c r="H27" s="43"/>
      <c r="I27" s="43"/>
      <c r="J27" s="43"/>
      <c r="K27" s="43"/>
      <c r="L27" s="43"/>
      <c r="M27" s="43"/>
      <c r="N27" s="43"/>
      <c r="O27" s="43"/>
    </row>
    <row r="28" spans="1:15" ht="11.25" customHeight="1">
      <c r="A28" s="15"/>
      <c r="B28" s="15" t="s">
        <v>0</v>
      </c>
      <c r="C28" s="16"/>
      <c r="D28" s="16"/>
      <c r="E28" s="16"/>
      <c r="F28" s="16"/>
      <c r="G28" s="16"/>
      <c r="H28" s="16"/>
      <c r="I28" s="16"/>
      <c r="J28" s="16"/>
      <c r="K28" s="16"/>
      <c r="L28" s="16"/>
      <c r="M28" s="16"/>
      <c r="N28" s="16"/>
      <c r="O28" s="16"/>
    </row>
    <row r="29" spans="1:15" ht="12">
      <c r="A29" s="15"/>
      <c r="B29" s="15" t="s">
        <v>32</v>
      </c>
      <c r="C29" s="16"/>
      <c r="D29" s="16"/>
      <c r="E29" s="16"/>
      <c r="F29" s="16"/>
      <c r="G29" s="16"/>
      <c r="H29" s="16"/>
      <c r="I29" s="16"/>
      <c r="J29" s="16"/>
      <c r="K29" s="16"/>
      <c r="L29" s="16"/>
      <c r="M29" s="16"/>
      <c r="N29" s="16"/>
      <c r="O29" s="16"/>
    </row>
  </sheetData>
  <mergeCells count="5">
    <mergeCell ref="B27:O27"/>
    <mergeCell ref="C1:H1"/>
    <mergeCell ref="J1:O1"/>
    <mergeCell ref="C2:H2"/>
    <mergeCell ref="J2:O2"/>
  </mergeCells>
  <printOptions/>
  <pageMargins left="0.75" right="0.75" top="1" bottom="1" header="0.5" footer="0.5"/>
  <pageSetup fitToHeight="1" fitToWidth="1" horizontalDpi="600" verticalDpi="600" orientation="landscape" scale="90"/>
</worksheet>
</file>

<file path=xl/worksheets/sheet15.xml><?xml version="1.0" encoding="utf-8"?>
<worksheet xmlns="http://schemas.openxmlformats.org/spreadsheetml/2006/main" xmlns:r="http://schemas.openxmlformats.org/officeDocument/2006/relationships">
  <sheetPr>
    <pageSetUpPr fitToPage="1"/>
  </sheetPr>
  <dimension ref="A1:O29"/>
  <sheetViews>
    <sheetView workbookViewId="0" topLeftCell="A1">
      <selection activeCell="A1" sqref="A1"/>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9</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88</v>
      </c>
      <c r="D5" s="10">
        <v>63.4</v>
      </c>
      <c r="E5" s="10">
        <v>50.9</v>
      </c>
      <c r="F5" s="10">
        <v>39.5</v>
      </c>
      <c r="G5" s="11">
        <f aca="true" t="shared" si="0" ref="G5:G12">(C5*35+D5*30+E5*30)/95</f>
        <v>68.51578947368421</v>
      </c>
      <c r="H5" s="10">
        <f>(C5*35+D5*30+E5*30+F5*5)/100</f>
        <v>67.065</v>
      </c>
      <c r="I5" s="1"/>
      <c r="J5" s="11">
        <v>107.3</v>
      </c>
      <c r="K5" s="11">
        <v>79.7</v>
      </c>
      <c r="L5" s="11">
        <v>65.2</v>
      </c>
      <c r="M5" s="11">
        <v>51.7</v>
      </c>
      <c r="N5" s="11">
        <f aca="true" t="shared" si="1" ref="N5:N12">(J5*35+K5*30+L5*30)/95</f>
        <v>85.28947368421052</v>
      </c>
      <c r="O5" s="10">
        <f>(J5*35+K5*30+L5*30+M5*5)/100</f>
        <v>83.61</v>
      </c>
    </row>
    <row r="6" spans="1:15" ht="12">
      <c r="A6" s="5"/>
      <c r="B6" s="5" t="s">
        <v>51</v>
      </c>
      <c r="C6" s="10">
        <v>80.2</v>
      </c>
      <c r="D6" s="10">
        <v>53.6</v>
      </c>
      <c r="E6" s="10">
        <v>45.4</v>
      </c>
      <c r="F6" s="10" t="s">
        <v>52</v>
      </c>
      <c r="G6" s="11">
        <f t="shared" si="0"/>
        <v>60.810526315789474</v>
      </c>
      <c r="H6" s="10" t="s">
        <v>52</v>
      </c>
      <c r="I6" s="1"/>
      <c r="J6" s="11">
        <v>101.4</v>
      </c>
      <c r="K6" s="11">
        <v>69.6</v>
      </c>
      <c r="L6" s="11">
        <v>59.5</v>
      </c>
      <c r="M6" s="11" t="s">
        <v>52</v>
      </c>
      <c r="N6" s="11">
        <f t="shared" si="1"/>
        <v>78.12631578947368</v>
      </c>
      <c r="O6" s="10" t="s">
        <v>52</v>
      </c>
    </row>
    <row r="7" spans="1:15" ht="12">
      <c r="A7" s="5"/>
      <c r="B7" s="5" t="s">
        <v>53</v>
      </c>
      <c r="C7" s="10">
        <v>84.2</v>
      </c>
      <c r="D7" s="10">
        <v>56.4</v>
      </c>
      <c r="E7" s="10">
        <v>46.4</v>
      </c>
      <c r="F7" s="10">
        <v>33.8</v>
      </c>
      <c r="G7" s="11">
        <f t="shared" si="0"/>
        <v>63.48421052631579</v>
      </c>
      <c r="H7" s="10">
        <f>(C7*35+D7*30+E7*30+F7*5)/100</f>
        <v>62</v>
      </c>
      <c r="I7" s="1"/>
      <c r="J7" s="11">
        <v>102</v>
      </c>
      <c r="K7" s="11">
        <v>70.7</v>
      </c>
      <c r="L7" s="11">
        <v>58.1</v>
      </c>
      <c r="M7" s="11">
        <v>42.4</v>
      </c>
      <c r="N7" s="11">
        <f t="shared" si="1"/>
        <v>78.25263157894737</v>
      </c>
      <c r="O7" s="10">
        <f>(J7*35+K7*30+L7*30+M7*5)/100</f>
        <v>76.46</v>
      </c>
    </row>
    <row r="8" spans="1:15" ht="12">
      <c r="A8" s="5"/>
      <c r="B8" s="5" t="s">
        <v>54</v>
      </c>
      <c r="C8" s="10">
        <v>77.1</v>
      </c>
      <c r="D8" s="10">
        <v>55</v>
      </c>
      <c r="E8" s="10">
        <v>47.8</v>
      </c>
      <c r="F8" s="10">
        <v>36.9</v>
      </c>
      <c r="G8" s="11">
        <f t="shared" si="0"/>
        <v>60.86842105263158</v>
      </c>
      <c r="H8" s="10" t="s">
        <v>52</v>
      </c>
      <c r="I8" s="1"/>
      <c r="J8" s="11">
        <v>94.9</v>
      </c>
      <c r="K8" s="11">
        <v>56.6</v>
      </c>
      <c r="L8" s="11">
        <v>66.5</v>
      </c>
      <c r="M8" s="11">
        <v>47.5</v>
      </c>
      <c r="N8" s="11">
        <f t="shared" si="1"/>
        <v>73.83684210526316</v>
      </c>
      <c r="O8" s="10" t="s">
        <v>52</v>
      </c>
    </row>
    <row r="9" spans="1:15" ht="12">
      <c r="A9" s="5"/>
      <c r="B9" s="5" t="s">
        <v>55</v>
      </c>
      <c r="C9" s="10">
        <v>82.2</v>
      </c>
      <c r="D9" s="10">
        <v>59</v>
      </c>
      <c r="E9" s="10">
        <v>48.4</v>
      </c>
      <c r="F9" s="10">
        <v>46.8</v>
      </c>
      <c r="G9" s="11">
        <f t="shared" si="0"/>
        <v>64.2</v>
      </c>
      <c r="H9" s="10">
        <f>(C9*35+D9*30+E9*30+F9*5)/100</f>
        <v>63.33</v>
      </c>
      <c r="I9" s="1"/>
      <c r="J9" s="11">
        <v>97.5</v>
      </c>
      <c r="K9" s="11">
        <v>71</v>
      </c>
      <c r="L9" s="11">
        <v>58.4</v>
      </c>
      <c r="M9" s="11">
        <v>53.7</v>
      </c>
      <c r="N9" s="11">
        <f t="shared" si="1"/>
        <v>76.78421052631579</v>
      </c>
      <c r="O9" s="10">
        <f>(J9*35+K9*30+L9*30+M9*5)/100</f>
        <v>75.63</v>
      </c>
    </row>
    <row r="10" spans="1:15" ht="12">
      <c r="A10" s="5"/>
      <c r="B10" s="5" t="s">
        <v>56</v>
      </c>
      <c r="C10" s="10">
        <v>75.9</v>
      </c>
      <c r="D10" s="10">
        <v>53.1</v>
      </c>
      <c r="E10" s="10">
        <v>43.4</v>
      </c>
      <c r="F10" s="10" t="s">
        <v>52</v>
      </c>
      <c r="G10" s="11">
        <f t="shared" si="0"/>
        <v>58.43684210526316</v>
      </c>
      <c r="H10" s="10" t="s">
        <v>52</v>
      </c>
      <c r="I10" s="1"/>
      <c r="J10" s="11">
        <v>95.3</v>
      </c>
      <c r="K10" s="11">
        <v>67.8</v>
      </c>
      <c r="L10" s="11">
        <v>54.5</v>
      </c>
      <c r="M10" s="11" t="s">
        <v>52</v>
      </c>
      <c r="N10" s="11">
        <f t="shared" si="1"/>
        <v>73.73157894736842</v>
      </c>
      <c r="O10" s="10" t="s">
        <v>52</v>
      </c>
    </row>
    <row r="11" spans="1:15" ht="12">
      <c r="A11" s="5"/>
      <c r="B11" s="5" t="s">
        <v>57</v>
      </c>
      <c r="C11" s="10">
        <v>73.3</v>
      </c>
      <c r="D11" s="10">
        <v>54</v>
      </c>
      <c r="E11" s="10">
        <v>45.4</v>
      </c>
      <c r="F11" s="10">
        <v>34.8</v>
      </c>
      <c r="G11" s="11">
        <f t="shared" si="0"/>
        <v>58.39473684210526</v>
      </c>
      <c r="H11" s="10">
        <f>(C11*35+D11*30+E11*30+F11*5)/100</f>
        <v>57.215</v>
      </c>
      <c r="I11" s="1"/>
      <c r="J11" s="11">
        <v>88.8</v>
      </c>
      <c r="K11" s="11">
        <v>66.3</v>
      </c>
      <c r="L11" s="11">
        <v>56.1</v>
      </c>
      <c r="M11" s="11">
        <v>43.6</v>
      </c>
      <c r="N11" s="11">
        <f t="shared" si="1"/>
        <v>71.36842105263158</v>
      </c>
      <c r="O11" s="10">
        <f>(J11*35+K11*30+L11*30+M11*5)/100</f>
        <v>69.98</v>
      </c>
    </row>
    <row r="12" spans="1:15" ht="12">
      <c r="A12" s="5"/>
      <c r="B12" s="5" t="s">
        <v>58</v>
      </c>
      <c r="C12" s="10">
        <v>70.5</v>
      </c>
      <c r="D12" s="10">
        <v>49.9</v>
      </c>
      <c r="E12" s="10">
        <v>45.2</v>
      </c>
      <c r="F12" s="10">
        <v>32.1</v>
      </c>
      <c r="G12" s="11">
        <f t="shared" si="0"/>
        <v>56.00526315789474</v>
      </c>
      <c r="H12" s="10">
        <f>(C12*35+D12*30+E12*30+F12*5)/100</f>
        <v>54.81</v>
      </c>
      <c r="I12" s="1"/>
      <c r="J12" s="11">
        <v>86.4</v>
      </c>
      <c r="K12" s="11">
        <v>62.2</v>
      </c>
      <c r="L12" s="11">
        <v>56</v>
      </c>
      <c r="M12" s="11">
        <v>39.7</v>
      </c>
      <c r="N12" s="11">
        <f t="shared" si="1"/>
        <v>69.15789473684211</v>
      </c>
      <c r="O12" s="10">
        <f>(J12*35+K12*30+L12*30+M12*5)/100</f>
        <v>67.685</v>
      </c>
    </row>
    <row r="13" spans="1:15" ht="12">
      <c r="A13" s="5"/>
      <c r="B13" s="5"/>
      <c r="C13" s="10"/>
      <c r="D13" s="10"/>
      <c r="E13" s="10"/>
      <c r="F13" s="10"/>
      <c r="G13" s="6"/>
      <c r="H13" s="10"/>
      <c r="I13" s="1"/>
      <c r="J13" s="6"/>
      <c r="K13" s="6"/>
      <c r="L13" s="6"/>
      <c r="M13" s="6"/>
      <c r="N13" s="6"/>
      <c r="O13" s="10"/>
    </row>
    <row r="14" spans="1:15" ht="12">
      <c r="A14" s="5"/>
      <c r="B14" s="5" t="s">
        <v>59</v>
      </c>
      <c r="C14" s="10">
        <f>AVERAGE(C5:C12)</f>
        <v>78.925</v>
      </c>
      <c r="D14" s="10">
        <f>AVERAGE(D5:D12)</f>
        <v>55.55</v>
      </c>
      <c r="E14" s="10">
        <f>AVERAGE(E5:E12)</f>
        <v>46.6125</v>
      </c>
      <c r="F14" s="10">
        <f>AVERAGE(F5:F12)</f>
        <v>37.31666666666667</v>
      </c>
      <c r="G14" s="11">
        <f>(C14*35+D14*30+E14*30)/95</f>
        <v>61.339473684210525</v>
      </c>
      <c r="H14" s="10">
        <f>(C14*35+D14*30+E14*30+F14*5)/100</f>
        <v>60.13833333333333</v>
      </c>
      <c r="I14" s="1"/>
      <c r="J14" s="10">
        <f>AVERAGE(J5:J12)</f>
        <v>96.69999999999999</v>
      </c>
      <c r="K14" s="10">
        <f>AVERAGE(K5:K12)</f>
        <v>67.98750000000001</v>
      </c>
      <c r="L14" s="10">
        <f>AVERAGE(L5:L12)</f>
        <v>59.2875</v>
      </c>
      <c r="M14" s="10">
        <f>AVERAGE(M5:M12)</f>
        <v>46.43333333333334</v>
      </c>
      <c r="N14" s="11">
        <f>(J14*35+K14*30+L14*30)/95</f>
        <v>75.81842105263158</v>
      </c>
      <c r="O14" s="10">
        <f>(J14*35+K14*30+L14*30+M14*5)/100</f>
        <v>74.34916666666668</v>
      </c>
    </row>
    <row r="15" spans="1:15" ht="12">
      <c r="A15" s="5"/>
      <c r="B15" s="5" t="s">
        <v>60</v>
      </c>
      <c r="C15" s="10">
        <f>Ratios!N192/Ratios!I190</f>
        <v>78.8075053763441</v>
      </c>
      <c r="D15" s="10">
        <f>Ratios!O192/Ratios!J190</f>
        <v>55.73928709802402</v>
      </c>
      <c r="E15" s="10">
        <f>Ratios!P192/Ratios!K190</f>
        <v>46.90488038277512</v>
      </c>
      <c r="F15" s="10">
        <f>Ratios!Q192/Ratios!L190</f>
        <v>35.845033112582776</v>
      </c>
      <c r="G15" s="11">
        <f>(C15*35+D15*30+E15*30)/95</f>
        <v>61.44829171153702</v>
      </c>
      <c r="H15" s="10">
        <f>(C15*35+D15*30+E15*30+F15*5)/100</f>
        <v>60.16812878158931</v>
      </c>
      <c r="I15" s="9"/>
      <c r="J15" s="11">
        <f>Ratios!S192/Ratios!I190</f>
        <v>96.40952688172042</v>
      </c>
      <c r="K15" s="11">
        <f>Ratios!T192/Ratios!J190</f>
        <v>68.125765207284</v>
      </c>
      <c r="L15" s="11">
        <f>Ratios!U192/Ratios!K190</f>
        <v>59.52038277511962</v>
      </c>
      <c r="M15" s="11">
        <f>Ratios!V192/Ratios!L190</f>
        <v>44.74900662251656</v>
      </c>
      <c r="N15" s="11">
        <f>(J15*35+K15*30+L15*30)/95</f>
        <v>75.82860926665604</v>
      </c>
      <c r="O15" s="10">
        <f>(J15*35+K15*30+L15*30+M15*5)/100</f>
        <v>74.27462913444907</v>
      </c>
    </row>
    <row r="16" spans="1:15" ht="12">
      <c r="A16" s="5"/>
      <c r="B16" s="5"/>
      <c r="C16" s="10"/>
      <c r="D16" s="10"/>
      <c r="E16" s="10"/>
      <c r="F16" s="10"/>
      <c r="G16" s="11"/>
      <c r="H16" s="10"/>
      <c r="I16" s="9"/>
      <c r="J16" s="6"/>
      <c r="K16" s="6"/>
      <c r="L16" s="6"/>
      <c r="M16" s="6"/>
      <c r="N16" s="11"/>
      <c r="O16" s="10"/>
    </row>
    <row r="17" spans="1:15" ht="12">
      <c r="A17" s="5"/>
      <c r="B17" s="5" t="s">
        <v>61</v>
      </c>
      <c r="C17" s="10">
        <v>60.3</v>
      </c>
      <c r="D17" s="10">
        <v>45.2</v>
      </c>
      <c r="E17" s="10">
        <v>38.5</v>
      </c>
      <c r="F17" s="10">
        <v>28.7</v>
      </c>
      <c r="G17" s="11">
        <f>(C17*35+D17*30+E17*30)/95</f>
        <v>48.64736842105263</v>
      </c>
      <c r="H17" s="10">
        <f>(C17*35+D17*30+E17*30+F17*5)/100</f>
        <v>47.65</v>
      </c>
      <c r="I17" s="9"/>
      <c r="J17" s="6">
        <v>75.4</v>
      </c>
      <c r="K17" s="6">
        <v>57.5</v>
      </c>
      <c r="L17" s="11">
        <v>48.5</v>
      </c>
      <c r="M17" s="6">
        <v>38.6</v>
      </c>
      <c r="N17" s="11">
        <f>(J17*35+K17*30+L17*30)/95</f>
        <v>61.252631578947366</v>
      </c>
      <c r="O17" s="10">
        <f>(J17*35+K17*30+L17*30+M17*5)/100</f>
        <v>60.12</v>
      </c>
    </row>
    <row r="18" spans="1:15" ht="12">
      <c r="A18" s="5"/>
      <c r="B18" s="5"/>
      <c r="C18" s="10"/>
      <c r="D18" s="10"/>
      <c r="E18" s="10"/>
      <c r="F18" s="10"/>
      <c r="G18" s="6"/>
      <c r="H18" s="10"/>
      <c r="I18" s="9"/>
      <c r="J18" s="6"/>
      <c r="K18" s="6"/>
      <c r="L18" s="6"/>
      <c r="M18" s="6"/>
      <c r="N18" s="6"/>
      <c r="O18" s="6"/>
    </row>
    <row r="19" spans="1:15" ht="12">
      <c r="A19" s="5"/>
      <c r="B19" s="12" t="s">
        <v>62</v>
      </c>
      <c r="C19" s="2">
        <f aca="true" t="shared" si="2" ref="C19:H19">C17/C14</f>
        <v>0.7640164713335444</v>
      </c>
      <c r="D19" s="2">
        <f t="shared" si="2"/>
        <v>0.8136813681368138</v>
      </c>
      <c r="E19" s="2">
        <f t="shared" si="2"/>
        <v>0.8259587020648969</v>
      </c>
      <c r="F19" s="2">
        <f t="shared" si="2"/>
        <v>0.7690933452434121</v>
      </c>
      <c r="G19" s="2">
        <f t="shared" si="2"/>
        <v>0.7930842163970999</v>
      </c>
      <c r="H19" s="2">
        <f t="shared" si="2"/>
        <v>0.7923398830474185</v>
      </c>
      <c r="I19" s="13"/>
      <c r="J19" s="2">
        <f aca="true" t="shared" si="3" ref="J19:O19">J17/J14</f>
        <v>0.7797311271975182</v>
      </c>
      <c r="K19" s="2">
        <f t="shared" si="3"/>
        <v>0.8457437028865599</v>
      </c>
      <c r="L19" s="2">
        <f t="shared" si="3"/>
        <v>0.8180476491671937</v>
      </c>
      <c r="M19" s="2">
        <f t="shared" si="3"/>
        <v>0.8312993539124192</v>
      </c>
      <c r="N19" s="2">
        <f t="shared" si="3"/>
        <v>0.807885876922009</v>
      </c>
      <c r="O19" s="2">
        <f t="shared" si="3"/>
        <v>0.8086169986213697</v>
      </c>
    </row>
    <row r="20" spans="1:15" ht="12">
      <c r="A20" s="5"/>
      <c r="B20" s="5"/>
      <c r="C20" s="10"/>
      <c r="D20" s="10"/>
      <c r="E20" s="10"/>
      <c r="F20" s="10"/>
      <c r="G20" s="6"/>
      <c r="H20" s="6"/>
      <c r="I20" s="9"/>
      <c r="J20" s="6"/>
      <c r="K20" s="6"/>
      <c r="L20" s="6"/>
      <c r="M20" s="6"/>
      <c r="N20" s="6"/>
      <c r="O20" s="14"/>
    </row>
    <row r="21" spans="1:15" ht="12">
      <c r="A21" s="5"/>
      <c r="B21" s="5" t="s">
        <v>63</v>
      </c>
      <c r="C21" s="3">
        <f>'1995-96'!C19</f>
        <v>0.7959483744486194</v>
      </c>
      <c r="D21" s="3">
        <f>'1995-96'!D19</f>
        <v>0.8353785598518176</v>
      </c>
      <c r="E21" s="3">
        <f>'1995-96'!E19</f>
        <v>0.843492586490939</v>
      </c>
      <c r="F21" s="3">
        <f>'1995-96'!F19</f>
        <v>0.7977991746905089</v>
      </c>
      <c r="G21" s="3">
        <f>'1995-96'!G19</f>
        <v>0.8186904748766733</v>
      </c>
      <c r="H21" s="3">
        <f>'1995-96'!H19</f>
        <v>0.8180408678264774</v>
      </c>
      <c r="I21" s="4"/>
      <c r="J21" s="3">
        <f>'1995-96'!J19</f>
        <v>0.8221512247071352</v>
      </c>
      <c r="K21" s="3">
        <f>'1995-96'!K19</f>
        <v>0.8635107754650949</v>
      </c>
      <c r="L21" s="3">
        <f>'1995-96'!L19</f>
        <v>0.8910158799216882</v>
      </c>
      <c r="M21" s="3">
        <f>'1995-96'!M19</f>
        <v>0.8534201954397392</v>
      </c>
      <c r="N21" s="3">
        <f>'1995-96'!N19</f>
        <v>0.8509490863934717</v>
      </c>
      <c r="O21" s="3">
        <f>'1995-96'!O19</f>
        <v>0.8510272795987082</v>
      </c>
    </row>
    <row r="22" spans="1:15" ht="12">
      <c r="A22" s="5"/>
      <c r="B22" s="5"/>
      <c r="C22" s="10"/>
      <c r="D22" s="10"/>
      <c r="E22" s="10"/>
      <c r="F22" s="6"/>
      <c r="G22" s="6"/>
      <c r="H22" s="6"/>
      <c r="I22" s="9"/>
      <c r="J22" s="6"/>
      <c r="K22" s="6"/>
      <c r="L22" s="6"/>
      <c r="M22" s="6"/>
      <c r="N22" s="6"/>
      <c r="O22" s="14"/>
    </row>
    <row r="23" spans="1:15" ht="12">
      <c r="A23" s="5"/>
      <c r="B23" s="5" t="s">
        <v>64</v>
      </c>
      <c r="C23" s="14">
        <f aca="true" t="shared" si="4" ref="C23:H23">C19-C21</f>
        <v>-0.03193190311507499</v>
      </c>
      <c r="D23" s="14">
        <f t="shared" si="4"/>
        <v>-0.02169719171500384</v>
      </c>
      <c r="E23" s="14">
        <f t="shared" si="4"/>
        <v>-0.01753388442604209</v>
      </c>
      <c r="F23" s="14">
        <f t="shared" si="4"/>
        <v>-0.028705829447096765</v>
      </c>
      <c r="G23" s="14">
        <f t="shared" si="4"/>
        <v>-0.02560625847957343</v>
      </c>
      <c r="H23" s="14">
        <f t="shared" si="4"/>
        <v>-0.02570098477905891</v>
      </c>
      <c r="I23" s="9"/>
      <c r="J23" s="14">
        <f aca="true" t="shared" si="5" ref="J23:O23">J19-J21</f>
        <v>-0.04242009750961695</v>
      </c>
      <c r="K23" s="14">
        <f t="shared" si="5"/>
        <v>-0.017767072578535048</v>
      </c>
      <c r="L23" s="14">
        <f t="shared" si="5"/>
        <v>-0.07296823075449443</v>
      </c>
      <c r="M23" s="14">
        <f t="shared" si="5"/>
        <v>-0.02212084152732008</v>
      </c>
      <c r="N23" s="14">
        <f t="shared" si="5"/>
        <v>-0.04306320947146269</v>
      </c>
      <c r="O23" s="14">
        <f t="shared" si="5"/>
        <v>-0.042410280977338455</v>
      </c>
    </row>
    <row r="24" spans="1:15" ht="12">
      <c r="A24" s="5"/>
      <c r="B24" s="5"/>
      <c r="C24" s="6"/>
      <c r="D24" s="6"/>
      <c r="E24" s="6"/>
      <c r="F24" s="6"/>
      <c r="G24" s="6"/>
      <c r="H24" s="6"/>
      <c r="I24" s="9"/>
      <c r="J24" s="6"/>
      <c r="K24" s="6"/>
      <c r="L24" s="6"/>
      <c r="M24" s="6"/>
      <c r="N24" s="6"/>
      <c r="O24" s="6"/>
    </row>
    <row r="25" spans="1:15" ht="12">
      <c r="A25" s="15"/>
      <c r="B25" s="15" t="s">
        <v>65</v>
      </c>
      <c r="C25" s="15"/>
      <c r="D25" s="15"/>
      <c r="E25" s="15"/>
      <c r="F25" s="15"/>
      <c r="G25" s="15"/>
      <c r="H25" s="15"/>
      <c r="I25" s="15"/>
      <c r="J25" s="15"/>
      <c r="K25" s="15"/>
      <c r="L25" s="15"/>
      <c r="M25" s="15"/>
      <c r="N25" s="15"/>
      <c r="O25" s="15"/>
    </row>
    <row r="26" spans="1:15" ht="12">
      <c r="A26" s="15"/>
      <c r="B26" s="15" t="s">
        <v>66</v>
      </c>
      <c r="C26" s="16"/>
      <c r="D26" s="16"/>
      <c r="E26" s="16"/>
      <c r="F26" s="16"/>
      <c r="G26" s="16"/>
      <c r="H26" s="16"/>
      <c r="I26" s="16"/>
      <c r="J26" s="16"/>
      <c r="K26" s="16"/>
      <c r="L26" s="16"/>
      <c r="M26" s="16"/>
      <c r="N26" s="16"/>
      <c r="O26" s="16"/>
    </row>
    <row r="27" spans="1:15" ht="34.5" customHeight="1">
      <c r="A27" s="15"/>
      <c r="B27" s="43" t="s">
        <v>67</v>
      </c>
      <c r="C27" s="43"/>
      <c r="D27" s="43"/>
      <c r="E27" s="43"/>
      <c r="F27" s="43"/>
      <c r="G27" s="43"/>
      <c r="H27" s="43"/>
      <c r="I27" s="43"/>
      <c r="J27" s="43"/>
      <c r="K27" s="43"/>
      <c r="L27" s="43"/>
      <c r="M27" s="43"/>
      <c r="N27" s="43"/>
      <c r="O27" s="43"/>
    </row>
    <row r="28" spans="1:15" ht="11.25" customHeight="1">
      <c r="A28" s="15"/>
      <c r="B28" s="15" t="s">
        <v>0</v>
      </c>
      <c r="C28" s="16"/>
      <c r="D28" s="16"/>
      <c r="E28" s="16"/>
      <c r="F28" s="16"/>
      <c r="G28" s="16"/>
      <c r="H28" s="16"/>
      <c r="I28" s="16"/>
      <c r="J28" s="16"/>
      <c r="K28" s="16"/>
      <c r="L28" s="16"/>
      <c r="M28" s="16"/>
      <c r="N28" s="16"/>
      <c r="O28" s="16"/>
    </row>
    <row r="29" spans="1:15" ht="12">
      <c r="A29" s="15"/>
      <c r="B29" s="15" t="s">
        <v>32</v>
      </c>
      <c r="C29" s="16"/>
      <c r="D29" s="16"/>
      <c r="E29" s="16"/>
      <c r="F29" s="16"/>
      <c r="G29" s="16"/>
      <c r="H29" s="16"/>
      <c r="I29" s="16"/>
      <c r="J29" s="16"/>
      <c r="K29" s="16"/>
      <c r="L29" s="16"/>
      <c r="M29" s="16"/>
      <c r="N29" s="16"/>
      <c r="O29" s="16"/>
    </row>
  </sheetData>
  <mergeCells count="5">
    <mergeCell ref="B27:O27"/>
    <mergeCell ref="C1:H1"/>
    <mergeCell ref="J1:O1"/>
    <mergeCell ref="C2:H2"/>
    <mergeCell ref="J2:O2"/>
  </mergeCells>
  <printOptions/>
  <pageMargins left="0.75" right="0.75" top="1" bottom="1" header="0.5" footer="0.5"/>
  <pageSetup fitToHeight="1" fitToWidth="1" horizontalDpi="600" verticalDpi="600" orientation="landscape" scale="90"/>
</worksheet>
</file>

<file path=xl/worksheets/sheet16.xml><?xml version="1.0" encoding="utf-8"?>
<worksheet xmlns="http://schemas.openxmlformats.org/spreadsheetml/2006/main" xmlns:r="http://schemas.openxmlformats.org/officeDocument/2006/relationships">
  <sheetPr>
    <pageSetUpPr fitToPage="1"/>
  </sheetPr>
  <dimension ref="A1:O29"/>
  <sheetViews>
    <sheetView workbookViewId="0" topLeftCell="A1">
      <selection activeCell="A1" sqref="A1"/>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10</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85</v>
      </c>
      <c r="D5" s="10">
        <v>62</v>
      </c>
      <c r="E5" s="10">
        <v>50.1</v>
      </c>
      <c r="F5" s="10">
        <v>39.8</v>
      </c>
      <c r="G5" s="11">
        <f aca="true" t="shared" si="0" ref="G5:G12">(C5*35+D5*30+E5*30)/95</f>
        <v>66.71578947368421</v>
      </c>
      <c r="H5" s="10">
        <f>(C5*35+D5*30+E5*30+F5*5)/100</f>
        <v>65.37</v>
      </c>
      <c r="I5" s="1"/>
      <c r="J5" s="11">
        <v>104</v>
      </c>
      <c r="K5" s="11">
        <v>78.3</v>
      </c>
      <c r="L5" s="11">
        <v>64.4</v>
      </c>
      <c r="M5" s="11">
        <v>53.1</v>
      </c>
      <c r="N5" s="11">
        <f aca="true" t="shared" si="1" ref="N5:N12">(J5*35+K5*30+L5*30)/95</f>
        <v>83.37894736842105</v>
      </c>
      <c r="O5" s="10">
        <f>(J5*35+K5*30+L5*30+M5*5)/100</f>
        <v>81.865</v>
      </c>
    </row>
    <row r="6" spans="1:15" ht="12">
      <c r="A6" s="5"/>
      <c r="B6" s="5" t="s">
        <v>51</v>
      </c>
      <c r="C6" s="10">
        <v>81</v>
      </c>
      <c r="D6" s="10">
        <v>52.7</v>
      </c>
      <c r="E6" s="10">
        <v>45.1</v>
      </c>
      <c r="F6" s="10" t="s">
        <v>52</v>
      </c>
      <c r="G6" s="11">
        <f t="shared" si="0"/>
        <v>60.72631578947368</v>
      </c>
      <c r="H6" s="10" t="s">
        <v>52</v>
      </c>
      <c r="I6" s="1"/>
      <c r="J6" s="11">
        <v>101.9</v>
      </c>
      <c r="K6" s="11">
        <v>68.4</v>
      </c>
      <c r="L6" s="11">
        <v>59.2</v>
      </c>
      <c r="M6" s="11" t="s">
        <v>52</v>
      </c>
      <c r="N6" s="11">
        <f t="shared" si="1"/>
        <v>77.83684210526316</v>
      </c>
      <c r="O6" s="10" t="s">
        <v>52</v>
      </c>
    </row>
    <row r="7" spans="1:15" ht="12">
      <c r="A7" s="5"/>
      <c r="B7" s="5" t="s">
        <v>53</v>
      </c>
      <c r="C7" s="10">
        <v>81.4</v>
      </c>
      <c r="D7" s="10">
        <v>54.4</v>
      </c>
      <c r="E7" s="10">
        <v>44.2</v>
      </c>
      <c r="F7" s="10">
        <v>32.3</v>
      </c>
      <c r="G7" s="11">
        <f t="shared" si="0"/>
        <v>61.126315789473686</v>
      </c>
      <c r="H7" s="10">
        <f>(C7*35+D7*30+E7*30+F7*5)/100</f>
        <v>59.685</v>
      </c>
      <c r="I7" s="1"/>
      <c r="J7" s="11">
        <v>98.9</v>
      </c>
      <c r="K7" s="11">
        <v>68.4</v>
      </c>
      <c r="L7" s="11">
        <v>55.5</v>
      </c>
      <c r="M7" s="11">
        <v>40</v>
      </c>
      <c r="N7" s="11">
        <f t="shared" si="1"/>
        <v>75.56315789473685</v>
      </c>
      <c r="O7" s="10">
        <f>(J7*35+K7*30+L7*30+M7*5)/100</f>
        <v>73.785</v>
      </c>
    </row>
    <row r="8" spans="1:15" ht="12">
      <c r="A8" s="5"/>
      <c r="B8" s="5" t="s">
        <v>54</v>
      </c>
      <c r="C8" s="10">
        <v>74.3</v>
      </c>
      <c r="D8" s="10">
        <v>54.3</v>
      </c>
      <c r="E8" s="10">
        <v>45.5</v>
      </c>
      <c r="F8" s="10">
        <v>39.9</v>
      </c>
      <c r="G8" s="11">
        <f t="shared" si="0"/>
        <v>58.88947368421053</v>
      </c>
      <c r="H8" s="10" t="s">
        <v>52</v>
      </c>
      <c r="I8" s="1"/>
      <c r="J8" s="11">
        <v>91.7</v>
      </c>
      <c r="K8" s="11">
        <v>68.3</v>
      </c>
      <c r="L8" s="11">
        <v>57.7</v>
      </c>
      <c r="M8" s="11">
        <v>51</v>
      </c>
      <c r="N8" s="11">
        <f t="shared" si="1"/>
        <v>73.57368421052631</v>
      </c>
      <c r="O8" s="10" t="s">
        <v>52</v>
      </c>
    </row>
    <row r="9" spans="1:15" ht="12">
      <c r="A9" s="5"/>
      <c r="B9" s="5" t="s">
        <v>55</v>
      </c>
      <c r="C9" s="10">
        <v>75.9</v>
      </c>
      <c r="D9" s="10">
        <v>54.1</v>
      </c>
      <c r="E9" s="10">
        <v>45.7</v>
      </c>
      <c r="F9" s="10">
        <v>39.8</v>
      </c>
      <c r="G9" s="11">
        <f t="shared" si="0"/>
        <v>59.47894736842105</v>
      </c>
      <c r="H9" s="10">
        <f>(C9*35+D9*30+E9*30+F9*5)/100</f>
        <v>58.495</v>
      </c>
      <c r="I9" s="1"/>
      <c r="J9" s="11">
        <v>90.3</v>
      </c>
      <c r="K9" s="11">
        <v>65.3</v>
      </c>
      <c r="L9" s="11">
        <v>55.3</v>
      </c>
      <c r="M9" s="11">
        <v>48.2</v>
      </c>
      <c r="N9" s="11">
        <f t="shared" si="1"/>
        <v>71.35263157894737</v>
      </c>
      <c r="O9" s="10">
        <f>(J9*35+K9*30+L9*30+M9*5)/100</f>
        <v>70.195</v>
      </c>
    </row>
    <row r="10" spans="1:15" ht="12">
      <c r="A10" s="5"/>
      <c r="B10" s="5" t="s">
        <v>56</v>
      </c>
      <c r="C10" s="10">
        <v>72.4</v>
      </c>
      <c r="D10" s="10">
        <v>51.2</v>
      </c>
      <c r="E10" s="10">
        <v>44</v>
      </c>
      <c r="F10" s="10" t="s">
        <v>52</v>
      </c>
      <c r="G10" s="11">
        <f t="shared" si="0"/>
        <v>56.73684210526316</v>
      </c>
      <c r="H10" s="10" t="s">
        <v>52</v>
      </c>
      <c r="I10" s="1"/>
      <c r="J10" s="11">
        <v>91.2</v>
      </c>
      <c r="K10" s="11">
        <v>65.5</v>
      </c>
      <c r="L10" s="11">
        <v>55.5</v>
      </c>
      <c r="M10" s="11" t="s">
        <v>52</v>
      </c>
      <c r="N10" s="11">
        <f t="shared" si="1"/>
        <v>71.81052631578947</v>
      </c>
      <c r="O10" s="10" t="s">
        <v>52</v>
      </c>
    </row>
    <row r="11" spans="1:15" ht="12">
      <c r="A11" s="5"/>
      <c r="B11" s="5" t="s">
        <v>57</v>
      </c>
      <c r="C11" s="10">
        <v>71.9</v>
      </c>
      <c r="D11" s="10">
        <v>53.3</v>
      </c>
      <c r="E11" s="10">
        <v>45</v>
      </c>
      <c r="F11" s="10">
        <v>33.7</v>
      </c>
      <c r="G11" s="11">
        <f t="shared" si="0"/>
        <v>57.53157894736842</v>
      </c>
      <c r="H11" s="10">
        <f>(C11*35+D11*30+E11*30+F11*5)/100</f>
        <v>56.34</v>
      </c>
      <c r="I11" s="1"/>
      <c r="J11" s="11">
        <v>87.7</v>
      </c>
      <c r="K11" s="11">
        <v>66.2</v>
      </c>
      <c r="L11" s="11">
        <v>55.9</v>
      </c>
      <c r="M11" s="11">
        <v>41.9</v>
      </c>
      <c r="N11" s="11">
        <f t="shared" si="1"/>
        <v>70.86842105263158</v>
      </c>
      <c r="O11" s="10">
        <f>(J11*35+K11*30+L11*30+M11*5)/100</f>
        <v>69.42</v>
      </c>
    </row>
    <row r="12" spans="1:15" ht="12">
      <c r="A12" s="5"/>
      <c r="B12" s="5" t="s">
        <v>58</v>
      </c>
      <c r="C12" s="10">
        <v>70.2</v>
      </c>
      <c r="D12" s="10">
        <v>49.9</v>
      </c>
      <c r="E12" s="10">
        <v>44.6</v>
      </c>
      <c r="F12" s="10">
        <v>32.6</v>
      </c>
      <c r="G12" s="11">
        <f t="shared" si="0"/>
        <v>55.705263157894734</v>
      </c>
      <c r="H12" s="10">
        <f>(C12*35+D12*30+E12*30+F12*5)/100</f>
        <v>54.55</v>
      </c>
      <c r="I12" s="1"/>
      <c r="J12" s="11">
        <v>85.5</v>
      </c>
      <c r="K12" s="11">
        <v>62.5</v>
      </c>
      <c r="L12" s="11">
        <v>56.2</v>
      </c>
      <c r="M12" s="11">
        <v>42.1</v>
      </c>
      <c r="N12" s="11">
        <f t="shared" si="1"/>
        <v>68.98421052631579</v>
      </c>
      <c r="O12" s="10">
        <f>(J12*35+K12*30+L12*30+M12*5)/100</f>
        <v>67.64</v>
      </c>
    </row>
    <row r="13" spans="1:15" ht="12">
      <c r="A13" s="5"/>
      <c r="B13" s="5"/>
      <c r="C13" s="10"/>
      <c r="D13" s="10"/>
      <c r="E13" s="10"/>
      <c r="F13" s="10"/>
      <c r="G13" s="6"/>
      <c r="H13" s="10"/>
      <c r="I13" s="1"/>
      <c r="J13" s="6"/>
      <c r="K13" s="6"/>
      <c r="L13" s="6"/>
      <c r="M13" s="6"/>
      <c r="N13" s="6"/>
      <c r="O13" s="10"/>
    </row>
    <row r="14" spans="1:15" ht="12">
      <c r="A14" s="5"/>
      <c r="B14" s="5" t="s">
        <v>59</v>
      </c>
      <c r="C14" s="10">
        <f>AVERAGE(C5:C12)</f>
        <v>76.5125</v>
      </c>
      <c r="D14" s="10">
        <f>AVERAGE(D5:D12)</f>
        <v>53.9875</v>
      </c>
      <c r="E14" s="10">
        <f>AVERAGE(E5:E12)</f>
        <v>45.525000000000006</v>
      </c>
      <c r="F14" s="10">
        <f>AVERAGE(F5:F12)</f>
        <v>36.35</v>
      </c>
      <c r="G14" s="11">
        <f>(C14*35+D14*30+E14*30)/95</f>
        <v>59.61381578947368</v>
      </c>
      <c r="H14" s="10">
        <f>(C14*35+D14*30+E14*30+F14*5)/100</f>
        <v>58.450625</v>
      </c>
      <c r="I14" s="1"/>
      <c r="J14" s="10">
        <f>AVERAGE(J5:J13)</f>
        <v>93.9</v>
      </c>
      <c r="K14" s="10">
        <f>AVERAGE(K5:K12)</f>
        <v>67.8625</v>
      </c>
      <c r="L14" s="10">
        <f>AVERAGE(L5:L12)</f>
        <v>57.4625</v>
      </c>
      <c r="M14" s="10">
        <f>AVERAGE(M5:M12)</f>
        <v>46.050000000000004</v>
      </c>
      <c r="N14" s="11">
        <f>(J14*35+K14*30+L14*30)/95</f>
        <v>74.17105263157895</v>
      </c>
      <c r="O14" s="10">
        <f>(J14*35+K14*30+L14*30+M14*5)/100</f>
        <v>72.765</v>
      </c>
    </row>
    <row r="15" spans="1:15" ht="12">
      <c r="A15" s="5"/>
      <c r="B15" s="5" t="s">
        <v>60</v>
      </c>
      <c r="C15" s="10">
        <f>Ratios!N208/Ratios!I206</f>
        <v>76.2484533898305</v>
      </c>
      <c r="D15" s="10">
        <f>Ratios!O208/Ratios!J206</f>
        <v>54.229284591194975</v>
      </c>
      <c r="E15" s="10">
        <f>Ratios!P208/Ratios!K206</f>
        <v>45.9950490425035</v>
      </c>
      <c r="F15" s="10">
        <f>Ratios!Q208/Ratios!L206</f>
        <v>34.70254777070064</v>
      </c>
      <c r="G15" s="11">
        <f>(C15*35+D15*30+E15*30)/95</f>
        <v>59.741325027947596</v>
      </c>
      <c r="H15" s="10">
        <f>(C15*35+D15*30+E15*30+F15*5)/100</f>
        <v>58.48938616508524</v>
      </c>
      <c r="I15" s="9"/>
      <c r="J15" s="11">
        <f>Ratios!S208/Ratios!I206</f>
        <v>93.4079025423729</v>
      </c>
      <c r="K15" s="11">
        <f>Ratios!T208/Ratios!J206</f>
        <v>68.06517295597484</v>
      </c>
      <c r="L15" s="11">
        <f>Ratios!U208/Ratios!K206</f>
        <v>58.10242877160206</v>
      </c>
      <c r="M15" s="11">
        <f>Ratios!V208/Ratios!L206</f>
        <v>43.42101910828025</v>
      </c>
      <c r="N15" s="11">
        <f>(J15*35+K15*30+L15*30)/95</f>
        <v>74.25583832431955</v>
      </c>
      <c r="O15" s="10">
        <f>(J15*35+K15*30+L15*30+M15*5)/100</f>
        <v>72.7140973635176</v>
      </c>
    </row>
    <row r="16" spans="1:15" ht="12">
      <c r="A16" s="5"/>
      <c r="B16" s="5"/>
      <c r="C16" s="10"/>
      <c r="D16" s="10"/>
      <c r="E16" s="10"/>
      <c r="F16" s="10"/>
      <c r="G16" s="11"/>
      <c r="H16" s="10"/>
      <c r="I16" s="9"/>
      <c r="J16" s="6"/>
      <c r="K16" s="6"/>
      <c r="L16" s="6"/>
      <c r="M16" s="6"/>
      <c r="N16" s="11"/>
      <c r="O16" s="10"/>
    </row>
    <row r="17" spans="1:15" ht="12">
      <c r="A17" s="5"/>
      <c r="B17" s="5" t="s">
        <v>61</v>
      </c>
      <c r="C17" s="10">
        <v>60.9</v>
      </c>
      <c r="D17" s="10">
        <v>45.1</v>
      </c>
      <c r="E17" s="10">
        <v>38.4</v>
      </c>
      <c r="F17" s="10">
        <v>29</v>
      </c>
      <c r="G17" s="11">
        <f>(C17*35+D17*30+E17*30)/95</f>
        <v>48.805263157894736</v>
      </c>
      <c r="H17" s="10">
        <f>(C17*35+D17*30+E17*30+F17*5)/100</f>
        <v>47.815</v>
      </c>
      <c r="I17" s="9"/>
      <c r="J17" s="6">
        <v>77.2</v>
      </c>
      <c r="K17" s="6">
        <v>58.6</v>
      </c>
      <c r="L17" s="11">
        <v>51.2</v>
      </c>
      <c r="M17" s="6">
        <v>39.3</v>
      </c>
      <c r="N17" s="11">
        <f>(J17*35+K17*30+L17*30)/95</f>
        <v>63.11578947368421</v>
      </c>
      <c r="O17" s="10">
        <f>(J17*35+K17*30+L17*30+M17*5)/100</f>
        <v>61.925</v>
      </c>
    </row>
    <row r="18" spans="1:15" ht="12">
      <c r="A18" s="5"/>
      <c r="B18" s="5"/>
      <c r="C18" s="10"/>
      <c r="D18" s="10"/>
      <c r="E18" s="10"/>
      <c r="F18" s="10"/>
      <c r="G18" s="6"/>
      <c r="H18" s="10"/>
      <c r="I18" s="9"/>
      <c r="J18" s="6"/>
      <c r="K18" s="6"/>
      <c r="L18" s="6"/>
      <c r="M18" s="6"/>
      <c r="N18" s="6"/>
      <c r="O18" s="6"/>
    </row>
    <row r="19" spans="1:15" ht="12">
      <c r="A19" s="5"/>
      <c r="B19" s="12" t="s">
        <v>62</v>
      </c>
      <c r="C19" s="2">
        <f aca="true" t="shared" si="2" ref="C19:H19">C17/C14</f>
        <v>0.7959483744486194</v>
      </c>
      <c r="D19" s="2">
        <f t="shared" si="2"/>
        <v>0.8353785598518176</v>
      </c>
      <c r="E19" s="2">
        <f t="shared" si="2"/>
        <v>0.843492586490939</v>
      </c>
      <c r="F19" s="2">
        <f t="shared" si="2"/>
        <v>0.7977991746905089</v>
      </c>
      <c r="G19" s="2">
        <f t="shared" si="2"/>
        <v>0.8186904748766733</v>
      </c>
      <c r="H19" s="2">
        <f t="shared" si="2"/>
        <v>0.8180408678264774</v>
      </c>
      <c r="I19" s="13"/>
      <c r="J19" s="2">
        <f aca="true" t="shared" si="3" ref="J19:O19">J17/J14</f>
        <v>0.8221512247071352</v>
      </c>
      <c r="K19" s="2">
        <f t="shared" si="3"/>
        <v>0.8635107754650949</v>
      </c>
      <c r="L19" s="2">
        <f t="shared" si="3"/>
        <v>0.8910158799216882</v>
      </c>
      <c r="M19" s="2">
        <f t="shared" si="3"/>
        <v>0.8534201954397392</v>
      </c>
      <c r="N19" s="2">
        <f t="shared" si="3"/>
        <v>0.8509490863934717</v>
      </c>
      <c r="O19" s="2">
        <f t="shared" si="3"/>
        <v>0.8510272795987082</v>
      </c>
    </row>
    <row r="20" spans="1:15" ht="12">
      <c r="A20" s="5"/>
      <c r="B20" s="5"/>
      <c r="C20" s="10"/>
      <c r="D20" s="10"/>
      <c r="E20" s="10"/>
      <c r="F20" s="10"/>
      <c r="G20" s="6"/>
      <c r="H20" s="6"/>
      <c r="I20" s="9"/>
      <c r="J20" s="6"/>
      <c r="K20" s="6"/>
      <c r="L20" s="6"/>
      <c r="M20" s="6"/>
      <c r="N20" s="6"/>
      <c r="O20" s="14"/>
    </row>
    <row r="21" spans="1:15" ht="12">
      <c r="A21" s="5"/>
      <c r="B21" s="5" t="s">
        <v>63</v>
      </c>
      <c r="C21" s="3" t="s">
        <v>27</v>
      </c>
      <c r="D21" s="3" t="s">
        <v>27</v>
      </c>
      <c r="E21" s="3" t="s">
        <v>27</v>
      </c>
      <c r="F21" s="3" t="s">
        <v>27</v>
      </c>
      <c r="G21" s="3" t="s">
        <v>27</v>
      </c>
      <c r="H21" s="3" t="s">
        <v>27</v>
      </c>
      <c r="I21" s="4"/>
      <c r="J21" s="3" t="s">
        <v>27</v>
      </c>
      <c r="K21" s="3" t="s">
        <v>27</v>
      </c>
      <c r="L21" s="3" t="s">
        <v>27</v>
      </c>
      <c r="M21" s="3" t="s">
        <v>27</v>
      </c>
      <c r="N21" s="3" t="s">
        <v>27</v>
      </c>
      <c r="O21" s="3" t="s">
        <v>27</v>
      </c>
    </row>
    <row r="22" spans="1:15" ht="12">
      <c r="A22" s="5"/>
      <c r="B22" s="5"/>
      <c r="C22" s="10"/>
      <c r="D22" s="10"/>
      <c r="E22" s="10"/>
      <c r="F22" s="6"/>
      <c r="G22" s="6"/>
      <c r="H22" s="6"/>
      <c r="I22" s="9"/>
      <c r="J22" s="6"/>
      <c r="K22" s="6"/>
      <c r="L22" s="6"/>
      <c r="M22" s="6"/>
      <c r="N22" s="6"/>
      <c r="O22" s="6"/>
    </row>
    <row r="23" spans="1:15" ht="12">
      <c r="A23" s="5"/>
      <c r="B23" s="5" t="s">
        <v>64</v>
      </c>
      <c r="C23" s="14" t="s">
        <v>27</v>
      </c>
      <c r="D23" s="14" t="s">
        <v>27</v>
      </c>
      <c r="E23" s="14" t="s">
        <v>27</v>
      </c>
      <c r="F23" s="14" t="s">
        <v>27</v>
      </c>
      <c r="G23" s="14" t="s">
        <v>27</v>
      </c>
      <c r="H23" s="14" t="s">
        <v>27</v>
      </c>
      <c r="I23" s="9"/>
      <c r="J23" s="14" t="s">
        <v>27</v>
      </c>
      <c r="K23" s="14" t="s">
        <v>27</v>
      </c>
      <c r="L23" s="14" t="s">
        <v>27</v>
      </c>
      <c r="M23" s="14" t="s">
        <v>27</v>
      </c>
      <c r="N23" s="14" t="s">
        <v>27</v>
      </c>
      <c r="O23" s="14" t="s">
        <v>27</v>
      </c>
    </row>
    <row r="24" spans="1:15" ht="12">
      <c r="A24" s="5"/>
      <c r="B24" s="5"/>
      <c r="C24" s="6"/>
      <c r="D24" s="6"/>
      <c r="E24" s="6"/>
      <c r="F24" s="6"/>
      <c r="G24" s="6"/>
      <c r="H24" s="6"/>
      <c r="I24" s="9"/>
      <c r="J24" s="6"/>
      <c r="K24" s="6"/>
      <c r="L24" s="6"/>
      <c r="M24" s="6"/>
      <c r="N24" s="6"/>
      <c r="O24" s="6"/>
    </row>
    <row r="25" spans="1:15" ht="12">
      <c r="A25" s="15"/>
      <c r="B25" s="15" t="s">
        <v>65</v>
      </c>
      <c r="C25" s="15"/>
      <c r="D25" s="15"/>
      <c r="E25" s="15"/>
      <c r="F25" s="15"/>
      <c r="G25" s="15"/>
      <c r="H25" s="15"/>
      <c r="I25" s="15"/>
      <c r="J25" s="15"/>
      <c r="K25" s="15"/>
      <c r="L25" s="15"/>
      <c r="M25" s="15"/>
      <c r="N25" s="15"/>
      <c r="O25" s="15"/>
    </row>
    <row r="26" spans="1:15" ht="12">
      <c r="A26" s="15"/>
      <c r="B26" s="15" t="s">
        <v>66</v>
      </c>
      <c r="C26" s="16"/>
      <c r="D26" s="16"/>
      <c r="E26" s="16"/>
      <c r="F26" s="16"/>
      <c r="G26" s="16"/>
      <c r="H26" s="16"/>
      <c r="I26" s="16"/>
      <c r="J26" s="16"/>
      <c r="K26" s="16"/>
      <c r="L26" s="16"/>
      <c r="M26" s="16"/>
      <c r="N26" s="16"/>
      <c r="O26" s="16"/>
    </row>
    <row r="27" spans="1:15" ht="34.5" customHeight="1">
      <c r="A27" s="15"/>
      <c r="B27" s="43" t="s">
        <v>67</v>
      </c>
      <c r="C27" s="43"/>
      <c r="D27" s="43"/>
      <c r="E27" s="43"/>
      <c r="F27" s="43"/>
      <c r="G27" s="43"/>
      <c r="H27" s="43"/>
      <c r="I27" s="43"/>
      <c r="J27" s="43"/>
      <c r="K27" s="43"/>
      <c r="L27" s="43"/>
      <c r="M27" s="43"/>
      <c r="N27" s="43"/>
      <c r="O27" s="43"/>
    </row>
    <row r="28" spans="1:15" ht="11.25" customHeight="1">
      <c r="A28" s="15"/>
      <c r="B28" s="15" t="s">
        <v>0</v>
      </c>
      <c r="C28" s="16"/>
      <c r="D28" s="16"/>
      <c r="E28" s="16"/>
      <c r="F28" s="16"/>
      <c r="G28" s="16"/>
      <c r="H28" s="16"/>
      <c r="I28" s="16"/>
      <c r="J28" s="16"/>
      <c r="K28" s="16"/>
      <c r="L28" s="16"/>
      <c r="M28" s="16"/>
      <c r="N28" s="16"/>
      <c r="O28" s="16"/>
    </row>
    <row r="29" spans="1:15" ht="12">
      <c r="A29" s="15"/>
      <c r="B29" s="15" t="s">
        <v>32</v>
      </c>
      <c r="C29" s="16"/>
      <c r="D29" s="16"/>
      <c r="E29" s="16"/>
      <c r="F29" s="16"/>
      <c r="G29" s="16"/>
      <c r="H29" s="16"/>
      <c r="I29" s="16"/>
      <c r="J29" s="16"/>
      <c r="K29" s="16"/>
      <c r="L29" s="16"/>
      <c r="M29" s="16"/>
      <c r="N29" s="16"/>
      <c r="O29" s="16"/>
    </row>
  </sheetData>
  <mergeCells count="5">
    <mergeCell ref="B27:O27"/>
    <mergeCell ref="C1:H1"/>
    <mergeCell ref="J1:O1"/>
    <mergeCell ref="C2:H2"/>
    <mergeCell ref="J2:O2"/>
  </mergeCells>
  <printOptions/>
  <pageMargins left="0.75" right="0.75" top="1" bottom="1" header="0.5" footer="0.5"/>
  <pageSetup fitToHeight="1" fitToWidth="1" horizontalDpi="600" verticalDpi="600" orientation="landscape" scale="90"/>
</worksheet>
</file>

<file path=xl/worksheets/sheet17.xml><?xml version="1.0" encoding="utf-8"?>
<worksheet xmlns="http://schemas.openxmlformats.org/spreadsheetml/2006/main" xmlns:r="http://schemas.openxmlformats.org/officeDocument/2006/relationships">
  <dimension ref="B2:AD208"/>
  <sheetViews>
    <sheetView workbookViewId="0" topLeftCell="A1">
      <selection activeCell="C16" sqref="C16"/>
    </sheetView>
  </sheetViews>
  <sheetFormatPr defaultColWidth="11.421875" defaultRowHeight="12.75"/>
  <cols>
    <col min="1" max="1" width="2.28125" style="26" customWidth="1"/>
    <col min="2" max="2" width="20.28125" style="25" customWidth="1"/>
    <col min="3" max="6" width="7.421875" style="21" customWidth="1"/>
    <col min="7" max="7" width="2.28125" style="5" customWidth="1"/>
    <col min="8" max="8" width="20.28125" style="5" customWidth="1"/>
    <col min="9" max="12" width="7.421875" style="5" customWidth="1"/>
    <col min="13" max="13" width="1.7109375" style="5" customWidth="1"/>
    <col min="14" max="17" width="11.421875" style="5" customWidth="1"/>
    <col min="18" max="18" width="2.28125" style="5" customWidth="1"/>
    <col min="19" max="22" width="11.421875" style="5" customWidth="1"/>
    <col min="23" max="16384" width="11.421875" style="26" customWidth="1"/>
  </cols>
  <sheetData>
    <row r="2" spans="2:12" ht="10.5" thickBot="1">
      <c r="B2" s="50" t="s">
        <v>37</v>
      </c>
      <c r="C2" s="50"/>
      <c r="D2" s="50"/>
      <c r="E2" s="50"/>
      <c r="F2" s="50"/>
      <c r="G2" s="50"/>
      <c r="H2" s="50"/>
      <c r="I2" s="50"/>
      <c r="J2" s="50"/>
      <c r="K2" s="50"/>
      <c r="L2" s="50"/>
    </row>
    <row r="3" spans="2:12" ht="9.75">
      <c r="B3" s="51" t="s">
        <v>11</v>
      </c>
      <c r="C3" s="51" t="s">
        <v>12</v>
      </c>
      <c r="D3" s="51"/>
      <c r="E3" s="51"/>
      <c r="F3" s="51"/>
      <c r="H3" s="51" t="s">
        <v>11</v>
      </c>
      <c r="I3" s="51" t="s">
        <v>13</v>
      </c>
      <c r="J3" s="51"/>
      <c r="K3" s="51"/>
      <c r="L3" s="51"/>
    </row>
    <row r="4" spans="2:22" ht="9.75">
      <c r="B4" s="51"/>
      <c r="C4" s="8" t="s">
        <v>44</v>
      </c>
      <c r="D4" s="8" t="s">
        <v>14</v>
      </c>
      <c r="E4" s="8" t="s">
        <v>15</v>
      </c>
      <c r="F4" s="8" t="s">
        <v>16</v>
      </c>
      <c r="H4" s="51"/>
      <c r="I4" s="8" t="s">
        <v>44</v>
      </c>
      <c r="J4" s="8" t="s">
        <v>14</v>
      </c>
      <c r="K4" s="8" t="s">
        <v>15</v>
      </c>
      <c r="L4" s="8" t="s">
        <v>16</v>
      </c>
      <c r="N4" s="49" t="s">
        <v>17</v>
      </c>
      <c r="O4" s="49"/>
      <c r="P4" s="49"/>
      <c r="Q4" s="49"/>
      <c r="R4" s="49"/>
      <c r="S4" s="49"/>
      <c r="T4" s="49"/>
      <c r="U4" s="49"/>
      <c r="V4" s="49"/>
    </row>
    <row r="5" spans="2:22" ht="9.75">
      <c r="B5" s="5" t="s">
        <v>18</v>
      </c>
      <c r="C5" s="21">
        <f>('2007-08'!$J$5-'2007-08'!$C$5)/'2007-08'!$C$5</f>
        <v>0.20948905109489044</v>
      </c>
      <c r="D5" s="21">
        <f>('2007-08'!$K$5-'2007-08'!$D$5)/'2007-08'!$D$5</f>
        <v>0.25813692480359146</v>
      </c>
      <c r="E5" s="21">
        <f>('2007-08'!$L$5-'2007-08'!$E$5)/'2007-08'!$E$5</f>
        <v>0.26986128625472894</v>
      </c>
      <c r="F5" s="21" t="s">
        <v>52</v>
      </c>
      <c r="H5" s="5" t="s">
        <v>18</v>
      </c>
      <c r="I5" s="20">
        <f>716+211</f>
        <v>927</v>
      </c>
      <c r="J5" s="20">
        <f>305+213</f>
        <v>518</v>
      </c>
      <c r="K5" s="20">
        <f>318+219</f>
        <v>537</v>
      </c>
      <c r="L5" s="20">
        <v>2</v>
      </c>
      <c r="N5" s="27">
        <f>I5*'2007-08'!C5</f>
        <v>126999</v>
      </c>
      <c r="O5" s="27">
        <f>J5*'2007-08'!D5</f>
        <v>46153.799999999996</v>
      </c>
      <c r="P5" s="27">
        <f>K5*'2007-08'!E5</f>
        <v>42584.1</v>
      </c>
      <c r="Q5" s="27" t="s">
        <v>52</v>
      </c>
      <c r="R5" s="27"/>
      <c r="S5" s="27">
        <f>I5*'2007-08'!J5</f>
        <v>153603.9</v>
      </c>
      <c r="T5" s="27">
        <f>J5*'2007-08'!K5</f>
        <v>58067.799999999996</v>
      </c>
      <c r="U5" s="27">
        <f>K5*'2007-08'!L5</f>
        <v>54075.9</v>
      </c>
      <c r="V5" s="27">
        <v>0</v>
      </c>
    </row>
    <row r="6" spans="2:22" ht="9.75">
      <c r="B6" s="5" t="s">
        <v>51</v>
      </c>
      <c r="C6" s="21" t="s">
        <v>52</v>
      </c>
      <c r="D6" s="21" t="s">
        <v>52</v>
      </c>
      <c r="E6" s="21" t="s">
        <v>52</v>
      </c>
      <c r="F6" s="21" t="s">
        <v>52</v>
      </c>
      <c r="H6" s="5" t="s">
        <v>51</v>
      </c>
      <c r="I6" s="20" t="s">
        <v>52</v>
      </c>
      <c r="J6" s="20" t="s">
        <v>52</v>
      </c>
      <c r="K6" s="20" t="s">
        <v>52</v>
      </c>
      <c r="L6" s="20" t="s">
        <v>52</v>
      </c>
      <c r="N6" s="27" t="s">
        <v>52</v>
      </c>
      <c r="O6" s="27" t="s">
        <v>52</v>
      </c>
      <c r="P6" s="27" t="s">
        <v>52</v>
      </c>
      <c r="Q6" s="27" t="s">
        <v>52</v>
      </c>
      <c r="R6" s="27"/>
      <c r="S6" s="27" t="s">
        <v>52</v>
      </c>
      <c r="T6" s="27" t="s">
        <v>52</v>
      </c>
      <c r="U6" s="27" t="s">
        <v>52</v>
      </c>
      <c r="V6" s="27">
        <v>0</v>
      </c>
    </row>
    <row r="7" spans="2:22" ht="9.75">
      <c r="B7" s="5" t="s">
        <v>19</v>
      </c>
      <c r="C7" s="21">
        <f>('2007-08'!$J$7-'2007-08'!$C$7)/'2007-08'!$C$7</f>
        <v>0.23134890730972132</v>
      </c>
      <c r="D7" s="21">
        <f>('2007-08'!$K$7-'2007-08'!$D$7)/'2007-08'!$D$7</f>
        <v>0.27142857142857146</v>
      </c>
      <c r="E7" s="21">
        <f>('2007-08'!$L$7-'2007-08'!$E$7)/'2007-08'!$E$7</f>
        <v>0.2845637583892618</v>
      </c>
      <c r="F7" s="21">
        <f>('2007-08'!$M$7-'2007-08'!$F$7)/'2007-08'!$F$7</f>
        <v>0.2967863894139886</v>
      </c>
      <c r="H7" s="5" t="s">
        <v>19</v>
      </c>
      <c r="I7" s="20">
        <f>443+96</f>
        <v>539</v>
      </c>
      <c r="J7" s="20">
        <f>217+111</f>
        <v>328</v>
      </c>
      <c r="K7" s="20">
        <f>133+125</f>
        <v>258</v>
      </c>
      <c r="L7" s="20">
        <f>5+9</f>
        <v>14</v>
      </c>
      <c r="N7" s="27">
        <f>I7*'2007-08'!C7</f>
        <v>71525.29999999999</v>
      </c>
      <c r="O7" s="27">
        <f>J7*'2007-08'!D7</f>
        <v>29848</v>
      </c>
      <c r="P7" s="27">
        <f>K7*'2007-08'!E7</f>
        <v>19221</v>
      </c>
      <c r="Q7" s="27">
        <f>L7*'2007-08'!F7</f>
        <v>740.6</v>
      </c>
      <c r="R7" s="27"/>
      <c r="S7" s="27">
        <f>I7*'2007-08'!J7</f>
        <v>88072.6</v>
      </c>
      <c r="T7" s="27">
        <f>J7*'2007-08'!K7</f>
        <v>37949.6</v>
      </c>
      <c r="U7" s="27">
        <f>K7*'2007-08'!L7</f>
        <v>24690.600000000002</v>
      </c>
      <c r="V7" s="27">
        <f>L7*'2007-08'!M7</f>
        <v>960.3999999999999</v>
      </c>
    </row>
    <row r="8" spans="2:22" ht="9.75">
      <c r="B8" s="5" t="s">
        <v>20</v>
      </c>
      <c r="C8" s="21">
        <f>('2007-08'!$J$8-'2007-08'!$C$8)/'2007-08'!$C$8</f>
        <v>0.26502963590177825</v>
      </c>
      <c r="D8" s="21">
        <f>('2007-08'!$K$8-'2007-08'!$D$8)/'2007-08'!$D$8</f>
        <v>0.2777777777777778</v>
      </c>
      <c r="E8" s="21">
        <f>('2007-08'!$L$8-'2007-08'!$E$8)/'2007-08'!$E$8</f>
        <v>0.2801724137931035</v>
      </c>
      <c r="F8" s="21">
        <f>('2007-08'!$M$8-'2007-08'!$F$8)/'2007-08'!$F$8</f>
        <v>0.28510638297872337</v>
      </c>
      <c r="H8" s="5" t="s">
        <v>20</v>
      </c>
      <c r="I8" s="20">
        <f>397+112</f>
        <v>509</v>
      </c>
      <c r="J8" s="20">
        <f>223+176</f>
        <v>399</v>
      </c>
      <c r="K8" s="20">
        <f>164+144</f>
        <v>308</v>
      </c>
      <c r="L8" s="20">
        <f>2+7</f>
        <v>9</v>
      </c>
      <c r="N8" s="27">
        <f>I8*'2007-08'!C8</f>
        <v>60112.899999999994</v>
      </c>
      <c r="O8" s="27">
        <f>J8*'2007-08'!D8</f>
        <v>32319</v>
      </c>
      <c r="P8" s="27">
        <f>K8*'2007-08'!E8</f>
        <v>21436.8</v>
      </c>
      <c r="Q8" s="27">
        <f>L8*'2007-08'!F8</f>
        <v>423</v>
      </c>
      <c r="R8" s="27"/>
      <c r="S8" s="27">
        <f>I8*'2007-08'!J8</f>
        <v>76044.6</v>
      </c>
      <c r="T8" s="27">
        <f>J8*'2007-08'!K8</f>
        <v>41296.5</v>
      </c>
      <c r="U8" s="27">
        <f>K8*'2007-08'!L8</f>
        <v>27442.8</v>
      </c>
      <c r="V8" s="27">
        <f>L8*'2007-08'!M8</f>
        <v>543.6</v>
      </c>
    </row>
    <row r="9" spans="2:22" ht="9.75">
      <c r="B9" s="5" t="s">
        <v>21</v>
      </c>
      <c r="C9" s="21">
        <f>('2007-08'!$J$9-'2007-08'!$C$9)/'2007-08'!$C$9</f>
        <v>0.20938628158844766</v>
      </c>
      <c r="D9" s="21">
        <f>('2007-08'!$K$9-'2007-08'!$D$9)/'2007-08'!$D$9</f>
        <v>0.24422442244224407</v>
      </c>
      <c r="E9" s="21">
        <f>('2007-08'!$L$9-'2007-08'!$E$9)/'2007-08'!$E$9</f>
        <v>0.25487646293888155</v>
      </c>
      <c r="F9" s="21">
        <f>('2007-08'!$M$9-'2007-08'!$F$9)/'2007-08'!$F$9</f>
        <v>0.24904701397712825</v>
      </c>
      <c r="H9" s="5" t="s">
        <v>21</v>
      </c>
      <c r="I9" s="20">
        <f>433+145</f>
        <v>578</v>
      </c>
      <c r="J9" s="20">
        <f>209+130</f>
        <v>339</v>
      </c>
      <c r="K9" s="20">
        <f>167+147</f>
        <v>314</v>
      </c>
      <c r="L9" s="20">
        <f>5+6</f>
        <v>11</v>
      </c>
      <c r="N9" s="27">
        <f>I9*'2007-08'!C9</f>
        <v>80053</v>
      </c>
      <c r="O9" s="27">
        <f>J9*'2007-08'!D9</f>
        <v>30815.100000000002</v>
      </c>
      <c r="P9" s="27">
        <f>K9*'2007-08'!E9</f>
        <v>24146.600000000002</v>
      </c>
      <c r="Q9" s="27">
        <f>L9*'2007-08'!F9</f>
        <v>865.7</v>
      </c>
      <c r="R9" s="27"/>
      <c r="S9" s="27">
        <f>I9*'2007-08'!J9</f>
        <v>96815</v>
      </c>
      <c r="T9" s="27">
        <f>J9*'2007-08'!K9</f>
        <v>38340.9</v>
      </c>
      <c r="U9" s="27">
        <f>K9*'2007-08'!L9</f>
        <v>30301</v>
      </c>
      <c r="V9" s="27">
        <f>L9*'2007-08'!M9</f>
        <v>1081.3</v>
      </c>
    </row>
    <row r="10" spans="2:22" ht="9.75">
      <c r="B10" s="5" t="s">
        <v>22</v>
      </c>
      <c r="C10" s="21">
        <f>('2007-08'!$J$10-'2007-08'!$C$10)/'2007-08'!$C$10</f>
        <v>0.2614035087719299</v>
      </c>
      <c r="D10" s="21">
        <f>('2007-08'!$K$10-'2007-08'!$D$10)/'2007-08'!$D$10</f>
        <v>0.28406169665809783</v>
      </c>
      <c r="E10" s="21">
        <f>('2007-08'!$L$10-'2007-08'!$E$10)/'2007-08'!$E$10</f>
        <v>0.26900584795321625</v>
      </c>
      <c r="F10" s="21" t="s">
        <v>52</v>
      </c>
      <c r="H10" s="5" t="s">
        <v>22</v>
      </c>
      <c r="I10" s="20">
        <f>497+137</f>
        <v>634</v>
      </c>
      <c r="J10" s="20">
        <f>259+155</f>
        <v>414</v>
      </c>
      <c r="K10" s="20">
        <f>220+175</f>
        <v>395</v>
      </c>
      <c r="L10" s="20">
        <v>0</v>
      </c>
      <c r="N10" s="27">
        <f>I10*'2007-08'!C10</f>
        <v>72276</v>
      </c>
      <c r="O10" s="27">
        <f>J10*'2007-08'!D10</f>
        <v>32209.199999999997</v>
      </c>
      <c r="P10" s="27">
        <f>K10*'2007-08'!E10</f>
        <v>27018.000000000004</v>
      </c>
      <c r="Q10" s="27" t="s">
        <v>52</v>
      </c>
      <c r="R10" s="27"/>
      <c r="S10" s="27">
        <f>I10*'2007-08'!J10</f>
        <v>91169.20000000001</v>
      </c>
      <c r="T10" s="27">
        <f>J10*'2007-08'!K10</f>
        <v>41358.600000000006</v>
      </c>
      <c r="U10" s="27">
        <f>K10*'2007-08'!L10</f>
        <v>34286</v>
      </c>
      <c r="V10" s="27">
        <v>0</v>
      </c>
    </row>
    <row r="11" spans="2:22" ht="9.75">
      <c r="B11" s="5" t="s">
        <v>23</v>
      </c>
      <c r="C11" s="21">
        <f>('2007-08'!$J$11-'2007-08'!$C$11)/'2007-08'!$C$11</f>
        <v>0.2190721649484536</v>
      </c>
      <c r="D11" s="21">
        <f>('2007-08'!$K$11-'2007-08'!$D$11)/'2007-08'!$D$11</f>
        <v>0.24381625441696098</v>
      </c>
      <c r="E11" s="21">
        <f>('2007-08'!$L$11-'2007-08'!$E$11)/'2007-08'!$E$11</f>
        <v>0.2558782849239281</v>
      </c>
      <c r="F11" s="21">
        <f>('2007-08'!$M$11-'2007-08'!$F$11)/'2007-08'!$F$11</f>
        <v>0.2958333333333334</v>
      </c>
      <c r="H11" s="5" t="s">
        <v>23</v>
      </c>
      <c r="I11" s="20">
        <f>333+82</f>
        <v>415</v>
      </c>
      <c r="J11" s="20">
        <f>199+110</f>
        <v>309</v>
      </c>
      <c r="K11" s="20">
        <f>172+108</f>
        <v>280</v>
      </c>
      <c r="L11" s="20">
        <f>129+142</f>
        <v>271</v>
      </c>
      <c r="N11" s="27">
        <f>I11*'2007-08'!C11</f>
        <v>48306</v>
      </c>
      <c r="O11" s="27">
        <f>J11*'2007-08'!D11</f>
        <v>26234.100000000002</v>
      </c>
      <c r="P11" s="27">
        <f>K11*'2007-08'!E11</f>
        <v>20244</v>
      </c>
      <c r="Q11" s="27">
        <f>L11*'2007-08'!F11</f>
        <v>13008</v>
      </c>
      <c r="R11" s="27"/>
      <c r="S11" s="27">
        <f>I11*'2007-08'!J11</f>
        <v>58888.5</v>
      </c>
      <c r="T11" s="27">
        <f>J11*'2007-08'!K11</f>
        <v>32630.399999999998</v>
      </c>
      <c r="U11" s="27">
        <f>K11*'2007-08'!L11</f>
        <v>25424</v>
      </c>
      <c r="V11" s="27">
        <f>L11*'2007-08'!M11</f>
        <v>16856.2</v>
      </c>
    </row>
    <row r="12" spans="2:22" ht="9.75">
      <c r="B12" s="5" t="s">
        <v>24</v>
      </c>
      <c r="C12" s="21">
        <f>('2007-08'!$J$12-'2007-08'!$C$12)/'2007-08'!$C$12</f>
        <v>0.21821305841924402</v>
      </c>
      <c r="D12" s="21">
        <f>('2007-08'!$K$12-'2007-08'!$D$12)/'2007-08'!$D$12</f>
        <v>0.23141486810551554</v>
      </c>
      <c r="E12" s="21">
        <f>('2007-08'!$L$12-'2007-08'!$E$12)/'2007-08'!$E$12</f>
        <v>0.2192151556156967</v>
      </c>
      <c r="F12" s="21">
        <f>('2007-08'!$M$12-'2007-08'!$F$12)/'2007-08'!$F$12</f>
        <v>0.30382775119617234</v>
      </c>
      <c r="H12" s="5" t="s">
        <v>24</v>
      </c>
      <c r="I12" s="20">
        <f>652+208</f>
        <v>860</v>
      </c>
      <c r="J12" s="20">
        <f>276+218</f>
        <v>494</v>
      </c>
      <c r="K12" s="20">
        <f>192+173</f>
        <v>365</v>
      </c>
      <c r="L12" s="20">
        <f>23+21</f>
        <v>44</v>
      </c>
      <c r="N12" s="27">
        <f>I12*'2007-08'!C12</f>
        <v>100104</v>
      </c>
      <c r="O12" s="27">
        <f>J12*'2007-08'!D12</f>
        <v>41199.600000000006</v>
      </c>
      <c r="P12" s="27">
        <f>K12*'2007-08'!E12</f>
        <v>26973.500000000004</v>
      </c>
      <c r="Q12" s="27">
        <f>L12*'2007-08'!F12</f>
        <v>1839.1999999999998</v>
      </c>
      <c r="R12" s="27"/>
      <c r="S12" s="27">
        <f>I12*'2007-08'!J12</f>
        <v>121948.00000000001</v>
      </c>
      <c r="T12" s="27">
        <f>J12*'2007-08'!K12</f>
        <v>50733.8</v>
      </c>
      <c r="U12" s="27">
        <f>K12*'2007-08'!L12</f>
        <v>32886.5</v>
      </c>
      <c r="V12" s="27">
        <f>L12*'2007-08'!M12</f>
        <v>2398</v>
      </c>
    </row>
    <row r="13" spans="2:22" ht="9.75">
      <c r="B13" s="5"/>
      <c r="N13" s="27"/>
      <c r="O13" s="27"/>
      <c r="P13" s="27"/>
      <c r="Q13" s="27"/>
      <c r="R13" s="27"/>
      <c r="S13" s="27"/>
      <c r="T13" s="27"/>
      <c r="U13" s="27"/>
      <c r="V13" s="27"/>
    </row>
    <row r="14" spans="2:22" ht="9.75">
      <c r="B14" s="5" t="s">
        <v>59</v>
      </c>
      <c r="C14" s="21">
        <f>('2007-08'!$J$14-'2007-08'!$C$14)/'2007-08'!$C$14</f>
        <v>0.2295269728553432</v>
      </c>
      <c r="D14" s="21">
        <f>('2007-08'!$K$14-'2007-08'!$D$14)/'2007-08'!$D$14</f>
        <v>0.25831800702223706</v>
      </c>
      <c r="E14" s="21">
        <f>('2007-08'!$L$14-'2007-08'!$E$14)/'2007-08'!$E$14</f>
        <v>0.26179840745775873</v>
      </c>
      <c r="F14" s="21">
        <f>('2007-08'!$M$14-'2007-08'!$F$14)/'2007-08'!$F$14</f>
        <v>0.28166915052160935</v>
      </c>
      <c r="H14" s="22" t="s">
        <v>25</v>
      </c>
      <c r="I14" s="20">
        <f>SUM(I5:I12)</f>
        <v>4462</v>
      </c>
      <c r="J14" s="20">
        <f>SUM(J5:J12)</f>
        <v>2801</v>
      </c>
      <c r="K14" s="20">
        <f>SUM(K5:K12)</f>
        <v>2457</v>
      </c>
      <c r="L14" s="20">
        <f>SUM(L5:L12)</f>
        <v>351</v>
      </c>
      <c r="N14" s="27"/>
      <c r="O14" s="27"/>
      <c r="P14" s="27"/>
      <c r="Q14" s="27"/>
      <c r="R14" s="27"/>
      <c r="S14" s="27"/>
      <c r="T14" s="27"/>
      <c r="U14" s="27"/>
      <c r="V14" s="27"/>
    </row>
    <row r="15" spans="2:22" ht="9.75">
      <c r="B15" s="5"/>
      <c r="I15" s="20"/>
      <c r="J15" s="20"/>
      <c r="K15" s="20"/>
      <c r="L15" s="20"/>
      <c r="N15" s="27"/>
      <c r="O15" s="27"/>
      <c r="P15" s="27"/>
      <c r="Q15" s="27"/>
      <c r="R15" s="27"/>
      <c r="S15" s="27"/>
      <c r="T15" s="27"/>
      <c r="U15" s="27"/>
      <c r="V15" s="27"/>
    </row>
    <row r="16" spans="2:28" ht="9.75">
      <c r="B16" s="5" t="s">
        <v>26</v>
      </c>
      <c r="C16" s="21">
        <f>('2007-08'!$J$17-'2007-08'!$C$17)/'2007-08'!$C$17</f>
        <v>0.3702531645569621</v>
      </c>
      <c r="D16" s="21">
        <f>('2007-08'!$K$17-'2007-08'!$D$17)/'2007-08'!$D$17</f>
        <v>0.42962962962962964</v>
      </c>
      <c r="E16" s="21">
        <f>('2007-08'!$L$17-'2007-08'!$E$17)/'2007-08'!$E$17</f>
        <v>0.39741518578352186</v>
      </c>
      <c r="F16" s="21">
        <f>('2007-08'!$M$17-'2007-08'!$F$17)/'2007-08'!$F$17</f>
        <v>0.513888888888889</v>
      </c>
      <c r="H16" s="5" t="s">
        <v>26</v>
      </c>
      <c r="I16" s="20">
        <f>158+55</f>
        <v>213</v>
      </c>
      <c r="J16" s="20">
        <f>140+77</f>
        <v>217</v>
      </c>
      <c r="K16" s="20">
        <f>90+87</f>
        <v>177</v>
      </c>
      <c r="L16" s="20">
        <f>57+62</f>
        <v>119</v>
      </c>
      <c r="N16" s="27">
        <f>SUM(N5:N15)</f>
        <v>559376.2</v>
      </c>
      <c r="O16" s="27">
        <f>SUM(O5:O15)</f>
        <v>238778.8</v>
      </c>
      <c r="P16" s="27">
        <f>SUM(P5:P15)</f>
        <v>181624</v>
      </c>
      <c r="Q16" s="27">
        <f>SUM(Q5:Q15)</f>
        <v>16876.5</v>
      </c>
      <c r="R16" s="27"/>
      <c r="S16" s="27">
        <f>SUM(S5:S15)</f>
        <v>686541.8</v>
      </c>
      <c r="T16" s="27">
        <f>SUM(T5:T15)</f>
        <v>300377.6</v>
      </c>
      <c r="U16" s="27">
        <f>SUM(U5:U15)</f>
        <v>229106.8</v>
      </c>
      <c r="V16" s="27">
        <f>SUM(V5:V15)</f>
        <v>21839.5</v>
      </c>
      <c r="Z16" s="26">
        <v>0.2390841320553782</v>
      </c>
      <c r="AA16" s="26">
        <v>0.2654784240150095</v>
      </c>
      <c r="AB16" s="26">
        <v>0.26850351161534314</v>
      </c>
    </row>
    <row r="18" spans="2:12" ht="10.5" thickBot="1">
      <c r="B18" s="50" t="s">
        <v>34</v>
      </c>
      <c r="C18" s="50"/>
      <c r="D18" s="50"/>
      <c r="E18" s="50"/>
      <c r="F18" s="50"/>
      <c r="G18" s="50"/>
      <c r="H18" s="50"/>
      <c r="I18" s="50"/>
      <c r="J18" s="50"/>
      <c r="K18" s="50"/>
      <c r="L18" s="50"/>
    </row>
    <row r="19" spans="2:12" ht="9.75">
      <c r="B19" s="51" t="s">
        <v>11</v>
      </c>
      <c r="C19" s="51" t="s">
        <v>12</v>
      </c>
      <c r="D19" s="51"/>
      <c r="E19" s="51"/>
      <c r="F19" s="51"/>
      <c r="H19" s="51" t="s">
        <v>11</v>
      </c>
      <c r="I19" s="51" t="s">
        <v>13</v>
      </c>
      <c r="J19" s="51"/>
      <c r="K19" s="51"/>
      <c r="L19" s="51"/>
    </row>
    <row r="20" spans="2:22" ht="9.75">
      <c r="B20" s="51"/>
      <c r="C20" s="8" t="s">
        <v>44</v>
      </c>
      <c r="D20" s="8" t="s">
        <v>14</v>
      </c>
      <c r="E20" s="8" t="s">
        <v>15</v>
      </c>
      <c r="F20" s="8" t="s">
        <v>16</v>
      </c>
      <c r="H20" s="51"/>
      <c r="I20" s="8" t="s">
        <v>44</v>
      </c>
      <c r="J20" s="8" t="s">
        <v>14</v>
      </c>
      <c r="K20" s="8" t="s">
        <v>15</v>
      </c>
      <c r="L20" s="8" t="s">
        <v>16</v>
      </c>
      <c r="N20" s="49" t="s">
        <v>17</v>
      </c>
      <c r="O20" s="49"/>
      <c r="P20" s="49"/>
      <c r="Q20" s="49"/>
      <c r="R20" s="49"/>
      <c r="S20" s="49"/>
      <c r="T20" s="49"/>
      <c r="U20" s="49"/>
      <c r="V20" s="49"/>
    </row>
    <row r="21" spans="2:22" ht="9.75">
      <c r="B21" s="5" t="s">
        <v>18</v>
      </c>
      <c r="C21" s="21">
        <f>('2006-07'!$J$5-'2006-07'!$C$5)/'2006-07'!$C$5</f>
        <v>0.20858895705521463</v>
      </c>
      <c r="D21" s="21">
        <f>('2006-07'!$K$5-'2006-07'!$D$5)/'2006-07'!$D$5</f>
        <v>0.25173210161662835</v>
      </c>
      <c r="E21" s="21">
        <f>('2006-07'!$L$5-'2006-07'!$E$5)/'2006-07'!$E$5</f>
        <v>0.2653333333333334</v>
      </c>
      <c r="F21" s="21" t="s">
        <v>52</v>
      </c>
      <c r="H21" s="5" t="s">
        <v>18</v>
      </c>
      <c r="I21" s="20">
        <f>738+195</f>
        <v>933</v>
      </c>
      <c r="J21" s="20">
        <f>298+213</f>
        <v>511</v>
      </c>
      <c r="K21" s="20">
        <f>314+230</f>
        <v>544</v>
      </c>
      <c r="L21" s="20">
        <v>2</v>
      </c>
      <c r="N21" s="27">
        <f>I21*'2006-07'!C5</f>
        <v>121663.20000000001</v>
      </c>
      <c r="O21" s="27">
        <f>J21*'2006-07'!D5</f>
        <v>44252.6</v>
      </c>
      <c r="P21" s="27">
        <f>K21*'2006-07'!E5</f>
        <v>40800</v>
      </c>
      <c r="Q21" s="27">
        <v>0</v>
      </c>
      <c r="R21" s="27"/>
      <c r="S21" s="27">
        <f>I21*'2006-07'!J5</f>
        <v>147040.8</v>
      </c>
      <c r="T21" s="27">
        <f>J21*'2006-07'!K5</f>
        <v>55392.4</v>
      </c>
      <c r="U21" s="27">
        <f>K21*'2006-07'!L5</f>
        <v>51625.600000000006</v>
      </c>
      <c r="V21" s="27">
        <v>0</v>
      </c>
    </row>
    <row r="22" spans="2:22" ht="9.75">
      <c r="B22" s="5" t="s">
        <v>51</v>
      </c>
      <c r="C22" s="21">
        <f>('2006-07'!$J$6-'2006-07'!$C$6)/'2006-07'!$C$6</f>
        <v>0.3034367141659682</v>
      </c>
      <c r="D22" s="21">
        <f>('2006-07'!$K$6-'2006-07'!$D$6)/'2006-07'!$D$6</f>
        <v>0.33738191632928477</v>
      </c>
      <c r="E22" s="21">
        <f>('2006-07'!$L$6-'2006-07'!$E$6)/'2006-07'!$E$6</f>
        <v>0.3482142857142856</v>
      </c>
      <c r="F22" s="21" t="s">
        <v>52</v>
      </c>
      <c r="H22" s="5" t="s">
        <v>51</v>
      </c>
      <c r="I22" s="20">
        <f>385+104</f>
        <v>489</v>
      </c>
      <c r="J22" s="20">
        <f>94+77</f>
        <v>171</v>
      </c>
      <c r="K22" s="20">
        <f>79+41</f>
        <v>120</v>
      </c>
      <c r="L22" s="20">
        <v>0</v>
      </c>
      <c r="N22" s="27">
        <f>I22*'2006-07'!C6</f>
        <v>58337.7</v>
      </c>
      <c r="O22" s="27">
        <f>J22*'2006-07'!D6</f>
        <v>12671.099999999999</v>
      </c>
      <c r="P22" s="27">
        <f>K22*'2006-07'!E6</f>
        <v>8064</v>
      </c>
      <c r="Q22" s="27">
        <v>0</v>
      </c>
      <c r="R22" s="27"/>
      <c r="S22" s="27">
        <f>I22*'2006-07'!J6</f>
        <v>76039.5</v>
      </c>
      <c r="T22" s="27">
        <f>J22*'2006-07'!K6</f>
        <v>16946.1</v>
      </c>
      <c r="U22" s="27">
        <f>K22*'2006-07'!L6</f>
        <v>10872</v>
      </c>
      <c r="V22" s="27">
        <v>0</v>
      </c>
    </row>
    <row r="23" spans="2:22" ht="9.75">
      <c r="B23" s="5" t="s">
        <v>19</v>
      </c>
      <c r="C23" s="21">
        <f>('2006-07'!$J$7-'2006-07'!$C$7)/'2006-07'!$C$7</f>
        <v>0.23359375000000004</v>
      </c>
      <c r="D23" s="21">
        <f>('2006-07'!$K$7-'2006-07'!$D$7)/'2006-07'!$D$7</f>
        <v>0.27023945267958954</v>
      </c>
      <c r="E23" s="21">
        <f>('2006-07'!$L$7-'2006-07'!$E$7)/'2006-07'!$E$7</f>
        <v>0.28410689170182846</v>
      </c>
      <c r="F23" s="21">
        <f>('2006-07'!$M$7-'2006-07'!$F$7)/'2006-07'!$F$7</f>
        <v>0.28194726166328615</v>
      </c>
      <c r="H23" s="5" t="s">
        <v>19</v>
      </c>
      <c r="I23" s="20">
        <f>441+90</f>
        <v>531</v>
      </c>
      <c r="J23" s="20">
        <f>207+100</f>
        <v>307</v>
      </c>
      <c r="K23" s="20">
        <f>132+134</f>
        <v>266</v>
      </c>
      <c r="L23" s="20">
        <f>6+8</f>
        <v>14</v>
      </c>
      <c r="N23" s="27">
        <f>I23*'2006-07'!C7</f>
        <v>67968</v>
      </c>
      <c r="O23" s="27">
        <f>J23*'2006-07'!D7</f>
        <v>26923.9</v>
      </c>
      <c r="P23" s="27">
        <f>K23*'2006-07'!E7</f>
        <v>18912.6</v>
      </c>
      <c r="Q23" s="27">
        <f>L23*'2006-07'!F7</f>
        <v>690.1999999999999</v>
      </c>
      <c r="R23" s="27"/>
      <c r="S23" s="27">
        <f>I23*'2006-07'!J7</f>
        <v>83844.90000000001</v>
      </c>
      <c r="T23" s="27">
        <f>J23*'2006-07'!K7</f>
        <v>34199.8</v>
      </c>
      <c r="U23" s="27">
        <f>K23*'2006-07'!L7</f>
        <v>24285.8</v>
      </c>
      <c r="V23" s="27">
        <f>L23*'2006-07'!M7</f>
        <v>884.8000000000001</v>
      </c>
    </row>
    <row r="24" spans="2:22" ht="9.75">
      <c r="B24" s="5" t="s">
        <v>20</v>
      </c>
      <c r="C24" s="21">
        <f>('2006-07'!$J$8-'2006-07'!$C$8)/'2006-07'!$C$8</f>
        <v>0.26502732240437166</v>
      </c>
      <c r="D24" s="21">
        <f>('2006-07'!$K$8-'2006-07'!$D$8)/'2006-07'!$D$8</f>
        <v>0.27453580901856744</v>
      </c>
      <c r="E24" s="21">
        <f>('2006-07'!$L$8-'2006-07'!$E$8)/'2006-07'!$E$8</f>
        <v>0.2781155015197568</v>
      </c>
      <c r="F24" s="21">
        <f>('2006-07'!$M$8-'2006-07'!$F$8)/'2006-07'!$F$8</f>
        <v>0.2794117647058823</v>
      </c>
      <c r="H24" s="5" t="s">
        <v>20</v>
      </c>
      <c r="I24" s="20">
        <f>404+111</f>
        <v>515</v>
      </c>
      <c r="J24" s="20">
        <f>229+168</f>
        <v>397</v>
      </c>
      <c r="K24" s="20">
        <f>168+144</f>
        <v>312</v>
      </c>
      <c r="L24" s="20">
        <v>4</v>
      </c>
      <c r="N24" s="27">
        <f>I24*'2006-07'!C8</f>
        <v>56547</v>
      </c>
      <c r="O24" s="27">
        <f>J24*'2006-07'!D8</f>
        <v>29933.800000000003</v>
      </c>
      <c r="P24" s="27">
        <f>K24*'2006-07'!E8</f>
        <v>20529.6</v>
      </c>
      <c r="Q24" s="27">
        <f>L24*'2006-07'!F8</f>
        <v>190.4</v>
      </c>
      <c r="R24" s="27"/>
      <c r="S24" s="27">
        <f>I24*'2006-07'!J8</f>
        <v>71533.5</v>
      </c>
      <c r="T24" s="27">
        <f>J24*'2006-07'!K8</f>
        <v>38151.7</v>
      </c>
      <c r="U24" s="27">
        <f>K24*'2006-07'!L8</f>
        <v>26239.199999999997</v>
      </c>
      <c r="V24" s="27">
        <f>L40*'2006-07'!M8</f>
        <v>0</v>
      </c>
    </row>
    <row r="25" spans="2:22" ht="9.75">
      <c r="B25" s="5" t="s">
        <v>21</v>
      </c>
      <c r="C25" s="21">
        <f>('2006-07'!$J$9-'2006-07'!$C$9)/'2006-07'!$C$9</f>
        <v>0.20425867507886428</v>
      </c>
      <c r="D25" s="21">
        <f>('2006-07'!$K$9-'2006-07'!$D$9)/'2006-07'!$D$9</f>
        <v>0.23508771929824554</v>
      </c>
      <c r="E25" s="21">
        <f>('2006-07'!$L$9-'2006-07'!$E$9)/'2006-07'!$E$9</f>
        <v>0.24512534818941517</v>
      </c>
      <c r="F25" s="21">
        <f>('2006-07'!$M$9-'2006-07'!$F$9)/'2006-07'!$F$9</f>
        <v>0.2660714285714287</v>
      </c>
      <c r="H25" s="5" t="s">
        <v>21</v>
      </c>
      <c r="I25" s="20">
        <f>442+130</f>
        <v>572</v>
      </c>
      <c r="J25" s="20">
        <f>193+120</f>
        <v>313</v>
      </c>
      <c r="K25" s="20">
        <f>170+145</f>
        <v>315</v>
      </c>
      <c r="L25" s="20">
        <f>2+4</f>
        <v>6</v>
      </c>
      <c r="N25" s="27">
        <f>I25*'2006-07'!C9</f>
        <v>72529.59999999999</v>
      </c>
      <c r="O25" s="27">
        <f>J25*'2006-07'!D9</f>
        <v>26761.5</v>
      </c>
      <c r="P25" s="27">
        <f>K25*'2006-07'!E9</f>
        <v>22617</v>
      </c>
      <c r="Q25" s="27">
        <f>L25*'2006-07'!F9</f>
        <v>336</v>
      </c>
      <c r="R25" s="27"/>
      <c r="S25" s="27">
        <f>I25*'2006-07'!J9</f>
        <v>87344.4</v>
      </c>
      <c r="T25" s="27">
        <f>J25*'2006-07'!K9</f>
        <v>33052.799999999996</v>
      </c>
      <c r="U25" s="27">
        <f>K25*'2006-07'!L9</f>
        <v>28161</v>
      </c>
      <c r="V25" s="27">
        <f>L25*'2006-07'!M9</f>
        <v>425.40000000000003</v>
      </c>
    </row>
    <row r="26" spans="2:22" ht="9.75">
      <c r="B26" s="5" t="s">
        <v>22</v>
      </c>
      <c r="C26" s="21">
        <f>('2006-07'!$J$10-'2006-07'!$C$10)/'2006-07'!$C$10</f>
        <v>0.2669724770642201</v>
      </c>
      <c r="D26" s="21">
        <f>('2006-07'!$K$10-'2006-07'!$D$10)/'2006-07'!$D$10</f>
        <v>0.28761651131824245</v>
      </c>
      <c r="E26" s="21">
        <f>('2006-07'!$L$10-'2006-07'!$E$10)/'2006-07'!$E$10</f>
        <v>0.26818181818181824</v>
      </c>
      <c r="F26" s="21" t="s">
        <v>52</v>
      </c>
      <c r="H26" s="5" t="s">
        <v>22</v>
      </c>
      <c r="I26" s="20">
        <f>500+136</f>
        <v>636</v>
      </c>
      <c r="J26" s="20">
        <f>254+160</f>
        <v>414</v>
      </c>
      <c r="K26" s="20">
        <f>212+168</f>
        <v>380</v>
      </c>
      <c r="L26" s="20">
        <v>0</v>
      </c>
      <c r="N26" s="27">
        <f>I26*'2006-07'!C10</f>
        <v>69324</v>
      </c>
      <c r="O26" s="27">
        <f>J26*'2006-07'!D10</f>
        <v>31091.399999999998</v>
      </c>
      <c r="P26" s="27">
        <f>K26*'2006-07'!E10</f>
        <v>25080</v>
      </c>
      <c r="Q26" s="27">
        <v>0</v>
      </c>
      <c r="R26" s="27"/>
      <c r="S26" s="27">
        <f>I26*'2006-07'!J10</f>
        <v>87831.59999999999</v>
      </c>
      <c r="T26" s="27">
        <f>J26*'2006-07'!K10</f>
        <v>40033.8</v>
      </c>
      <c r="U26" s="27">
        <f>K26*'2006-07'!L10</f>
        <v>31806</v>
      </c>
      <c r="V26" s="27">
        <v>0</v>
      </c>
    </row>
    <row r="27" spans="2:22" ht="9.75">
      <c r="B27" s="5" t="s">
        <v>23</v>
      </c>
      <c r="C27" s="21">
        <f>('2006-07'!$J$11-'2006-07'!$C$11)/'2006-07'!$C$11</f>
        <v>0.21816479400749061</v>
      </c>
      <c r="D27" s="21">
        <f>('2006-07'!$K$11-'2006-07'!$D$11)/'2006-07'!$D$11</f>
        <v>0.24358974358974358</v>
      </c>
      <c r="E27" s="21">
        <f>('2006-07'!$L$11-'2006-07'!$E$11)/'2006-07'!$E$11</f>
        <v>0.25333333333333324</v>
      </c>
      <c r="F27" s="21">
        <f>('2006-07'!$M$11-'2006-07'!$F$11)/'2006-07'!$F$11</f>
        <v>0.2857142857142857</v>
      </c>
      <c r="H27" s="5" t="s">
        <v>23</v>
      </c>
      <c r="I27" s="20">
        <f>350+84</f>
        <v>434</v>
      </c>
      <c r="J27" s="20">
        <f>189+102</f>
        <v>291</v>
      </c>
      <c r="K27" s="20">
        <f>150+106</f>
        <v>256</v>
      </c>
      <c r="L27" s="20">
        <f>126+135</f>
        <v>261</v>
      </c>
      <c r="N27" s="27">
        <f>I27*'2006-07'!C11</f>
        <v>46351.2</v>
      </c>
      <c r="O27" s="27">
        <f>J27*'2006-07'!D11</f>
        <v>22698</v>
      </c>
      <c r="P27" s="27">
        <f>K27*'2006-07'!E11</f>
        <v>17280</v>
      </c>
      <c r="Q27" s="27">
        <f>L27*'2006-07'!F11</f>
        <v>12240.9</v>
      </c>
      <c r="R27" s="27"/>
      <c r="S27" s="27">
        <f>I27*'2006-07'!J11</f>
        <v>56463.399999999994</v>
      </c>
      <c r="T27" s="27">
        <f>J27*'2006-07'!K11</f>
        <v>28227</v>
      </c>
      <c r="U27" s="27">
        <f>K27*'2006-07'!L11</f>
        <v>21657.6</v>
      </c>
      <c r="V27" s="27">
        <f>L27*'2006-07'!M11</f>
        <v>15738.3</v>
      </c>
    </row>
    <row r="28" spans="2:22" ht="9.75">
      <c r="B28" s="5" t="s">
        <v>24</v>
      </c>
      <c r="C28" s="21">
        <f>('2006-07'!$J$12-'2006-07'!$C$12)/'2006-07'!$C$12</f>
        <v>0.21854912764003656</v>
      </c>
      <c r="D28" s="21">
        <f>('2006-07'!$K$12-'2006-07'!$D$12)/'2006-07'!$D$12</f>
        <v>0.23186528497409314</v>
      </c>
      <c r="E28" s="21">
        <f>('2006-07'!$L$12-'2006-07'!$E$12)/'2006-07'!$E$12</f>
        <v>0.2101551480959096</v>
      </c>
      <c r="F28" s="21">
        <f>('2006-07'!$M$12-'2006-07'!$F$12)/'2006-07'!$F$12</f>
        <v>0.25934065934065925</v>
      </c>
      <c r="H28" s="5" t="s">
        <v>24</v>
      </c>
      <c r="I28" s="20">
        <f>669+208</f>
        <v>877</v>
      </c>
      <c r="J28" s="20">
        <f>273+195</f>
        <v>468</v>
      </c>
      <c r="K28" s="20">
        <f>176+158</f>
        <v>334</v>
      </c>
      <c r="L28" s="20">
        <f>23+14</f>
        <v>37</v>
      </c>
      <c r="N28" s="27">
        <f>I28*'2006-07'!C12</f>
        <v>95505.3</v>
      </c>
      <c r="O28" s="27">
        <f>J28*'2006-07'!D12</f>
        <v>36129.6</v>
      </c>
      <c r="P28" s="27">
        <f>K28*'2006-07'!E12</f>
        <v>23680.600000000002</v>
      </c>
      <c r="Q28" s="27">
        <f>L28*'2006-07'!F12</f>
        <v>1683.5</v>
      </c>
      <c r="R28" s="27"/>
      <c r="S28" s="27">
        <f>I28*'2006-07'!J12</f>
        <v>116377.9</v>
      </c>
      <c r="T28" s="27">
        <f>J28*'2006-07'!K12</f>
        <v>44506.799999999996</v>
      </c>
      <c r="U28" s="27">
        <f>K28*'2006-07'!L12</f>
        <v>28657.2</v>
      </c>
      <c r="V28" s="27">
        <f>L28*'2006-07'!M12</f>
        <v>2120.1</v>
      </c>
    </row>
    <row r="29" spans="2:22" ht="9.75">
      <c r="B29" s="5"/>
      <c r="N29" s="27"/>
      <c r="O29" s="27"/>
      <c r="P29" s="27"/>
      <c r="Q29" s="27"/>
      <c r="R29" s="27"/>
      <c r="S29" s="27"/>
      <c r="T29" s="27"/>
      <c r="U29" s="27"/>
      <c r="V29" s="27"/>
    </row>
    <row r="30" spans="2:22" ht="9.75">
      <c r="B30" s="5" t="s">
        <v>59</v>
      </c>
      <c r="C30" s="21">
        <f>('2006-07'!$J$14-'2006-07'!$C$14)/'2006-07'!$C$14</f>
        <v>0.2390841320553782</v>
      </c>
      <c r="D30" s="21">
        <f>('2006-07'!$K$14-'2006-07'!$D$14)/'2006-07'!$D$14</f>
        <v>0.2654784240150095</v>
      </c>
      <c r="E30" s="21">
        <f>('2006-07'!$L$14-'2006-07'!$E$14)/'2006-07'!$E$14</f>
        <v>0.26850351161534314</v>
      </c>
      <c r="F30" s="21">
        <f>('2006-07'!$M$14-'2006-07'!$F$14)/'2006-07'!$F$14</f>
        <v>0.27435792906644924</v>
      </c>
      <c r="H30" s="22" t="s">
        <v>25</v>
      </c>
      <c r="I30" s="20">
        <f>SUM(I21:I28)</f>
        <v>4987</v>
      </c>
      <c r="J30" s="20">
        <f>SUM(J21:J28)</f>
        <v>2872</v>
      </c>
      <c r="K30" s="20">
        <f>SUM(K21:K28)</f>
        <v>2527</v>
      </c>
      <c r="L30" s="20">
        <f>SUM(L21:L28)</f>
        <v>324</v>
      </c>
      <c r="N30" s="27"/>
      <c r="O30" s="27"/>
      <c r="P30" s="27"/>
      <c r="Q30" s="27"/>
      <c r="R30" s="27"/>
      <c r="S30" s="27"/>
      <c r="T30" s="27"/>
      <c r="U30" s="27"/>
      <c r="V30" s="27"/>
    </row>
    <row r="31" spans="2:22" ht="9.75">
      <c r="B31" s="5"/>
      <c r="I31" s="20"/>
      <c r="J31" s="20"/>
      <c r="K31" s="20"/>
      <c r="L31" s="20"/>
      <c r="N31" s="27"/>
      <c r="O31" s="27"/>
      <c r="P31" s="27"/>
      <c r="Q31" s="27"/>
      <c r="R31" s="27"/>
      <c r="S31" s="27"/>
      <c r="T31" s="27"/>
      <c r="U31" s="27"/>
      <c r="V31" s="27"/>
    </row>
    <row r="32" spans="2:28" ht="9.75">
      <c r="B32" s="5" t="s">
        <v>26</v>
      </c>
      <c r="C32" s="21">
        <f>('2006-07'!$J$17-'2006-07'!$C$17)/'2006-07'!$C$17</f>
        <v>0.3839184597961496</v>
      </c>
      <c r="D32" s="21">
        <f>('2006-07'!$K$17-'2006-07'!$D$17)/'2006-07'!$D$17</f>
        <v>0.43478260869565205</v>
      </c>
      <c r="E32" s="21">
        <f>('2006-07'!$L$17-'2006-07'!$E$17)/'2006-07'!$E$17</f>
        <v>0.3966666666666666</v>
      </c>
      <c r="F32" s="21">
        <f>('2006-07'!$M$17-'2006-07'!$F$17)/'2006-07'!$F$17</f>
        <v>0.5269607843137255</v>
      </c>
      <c r="H32" s="5" t="s">
        <v>26</v>
      </c>
      <c r="I32" s="20">
        <f>156+52</f>
        <v>208</v>
      </c>
      <c r="J32" s="20">
        <f>136+73</f>
        <v>209</v>
      </c>
      <c r="K32" s="20">
        <f>94+82</f>
        <v>176</v>
      </c>
      <c r="L32" s="20">
        <f>48+55</f>
        <v>103</v>
      </c>
      <c r="N32" s="27">
        <f>SUM(N21:N31)</f>
        <v>588226</v>
      </c>
      <c r="O32" s="27">
        <f>SUM(O21:O31)</f>
        <v>230461.90000000002</v>
      </c>
      <c r="P32" s="27">
        <f>SUM(P21:P31)</f>
        <v>176963.80000000002</v>
      </c>
      <c r="Q32" s="27">
        <f>SUM(Q21:Q31)</f>
        <v>15141</v>
      </c>
      <c r="R32" s="27"/>
      <c r="S32" s="27">
        <f>SUM(S21:S31)</f>
        <v>726476</v>
      </c>
      <c r="T32" s="27">
        <f>SUM(T21:T31)</f>
        <v>290510.39999999997</v>
      </c>
      <c r="U32" s="27">
        <f>SUM(U21:U31)</f>
        <v>223304.40000000002</v>
      </c>
      <c r="V32" s="27">
        <f>SUM(V21:V31)</f>
        <v>19168.6</v>
      </c>
      <c r="Z32" s="26">
        <v>0.2390841320553782</v>
      </c>
      <c r="AA32" s="26">
        <v>0.2654784240150095</v>
      </c>
      <c r="AB32" s="26">
        <v>0.26850351161534314</v>
      </c>
    </row>
    <row r="33" spans="26:29" ht="9.75">
      <c r="Z33" s="26">
        <v>4987</v>
      </c>
      <c r="AA33" s="26">
        <v>2872</v>
      </c>
      <c r="AB33" s="26">
        <v>2527</v>
      </c>
      <c r="AC33" s="26">
        <f>SUM(Z33:AB33)</f>
        <v>10386</v>
      </c>
    </row>
    <row r="34" spans="2:30" ht="10.5" thickBot="1">
      <c r="B34" s="50" t="s">
        <v>28</v>
      </c>
      <c r="C34" s="50"/>
      <c r="D34" s="50"/>
      <c r="E34" s="50"/>
      <c r="F34" s="50"/>
      <c r="G34" s="50"/>
      <c r="H34" s="50"/>
      <c r="I34" s="50"/>
      <c r="J34" s="50"/>
      <c r="K34" s="50"/>
      <c r="L34" s="50"/>
      <c r="Z34" s="26">
        <f>Z32*Z33</f>
        <v>1192.312566560171</v>
      </c>
      <c r="AA34" s="26">
        <f>AA32*AA33</f>
        <v>762.4540337711072</v>
      </c>
      <c r="AB34" s="26">
        <f>AB32*AB33</f>
        <v>678.5083738519721</v>
      </c>
      <c r="AC34" s="26">
        <f>SUM(Z34:AB34)</f>
        <v>2633.2749741832504</v>
      </c>
      <c r="AD34" s="26">
        <f>AC34/AC33</f>
        <v>0.2535408217006788</v>
      </c>
    </row>
    <row r="35" spans="2:28" ht="9.75">
      <c r="B35" s="51" t="s">
        <v>11</v>
      </c>
      <c r="C35" s="51" t="s">
        <v>12</v>
      </c>
      <c r="D35" s="51"/>
      <c r="E35" s="51"/>
      <c r="F35" s="51"/>
      <c r="H35" s="51" t="s">
        <v>11</v>
      </c>
      <c r="I35" s="51" t="s">
        <v>13</v>
      </c>
      <c r="J35" s="51"/>
      <c r="K35" s="51"/>
      <c r="L35" s="51"/>
      <c r="Z35" s="26">
        <v>0.3839184597961496</v>
      </c>
      <c r="AA35" s="26">
        <v>0.43478260869565205</v>
      </c>
      <c r="AB35" s="26">
        <v>0.3966666666666666</v>
      </c>
    </row>
    <row r="36" spans="2:29" ht="9.75">
      <c r="B36" s="51"/>
      <c r="C36" s="8" t="s">
        <v>44</v>
      </c>
      <c r="D36" s="8" t="s">
        <v>14</v>
      </c>
      <c r="E36" s="8" t="s">
        <v>15</v>
      </c>
      <c r="F36" s="8" t="s">
        <v>16</v>
      </c>
      <c r="H36" s="51"/>
      <c r="I36" s="8" t="s">
        <v>44</v>
      </c>
      <c r="J36" s="8" t="s">
        <v>14</v>
      </c>
      <c r="K36" s="8" t="s">
        <v>15</v>
      </c>
      <c r="L36" s="8" t="s">
        <v>16</v>
      </c>
      <c r="N36" s="49" t="s">
        <v>17</v>
      </c>
      <c r="O36" s="49"/>
      <c r="P36" s="49"/>
      <c r="Q36" s="49"/>
      <c r="R36" s="49"/>
      <c r="S36" s="49"/>
      <c r="T36" s="49"/>
      <c r="U36" s="49"/>
      <c r="V36" s="49"/>
      <c r="Z36" s="26">
        <v>208</v>
      </c>
      <c r="AA36" s="26">
        <v>209</v>
      </c>
      <c r="AB36" s="26">
        <v>176</v>
      </c>
      <c r="AC36" s="26">
        <f>SUM(Z36:AB36)</f>
        <v>593</v>
      </c>
    </row>
    <row r="37" spans="2:30" ht="9.75">
      <c r="B37" s="5" t="s">
        <v>18</v>
      </c>
      <c r="C37" s="19">
        <f>('2005-06'!J5-'2005-06'!C5)/'2005-06'!C5</f>
        <v>0.21257961783439505</v>
      </c>
      <c r="D37" s="19">
        <f>('2005-06'!K5-'2005-06'!D5)/'2005-06'!D5</f>
        <v>0.2580645161290322</v>
      </c>
      <c r="E37" s="19">
        <f>('2005-06'!L5-'2005-06'!E5)/'2005-06'!E5</f>
        <v>0.27060439560439564</v>
      </c>
      <c r="F37" s="19">
        <f>('2005-06'!M5-'2005-06'!F5)/'2005-06'!F5</f>
        <v>0.29016393442622956</v>
      </c>
      <c r="H37" s="5" t="s">
        <v>18</v>
      </c>
      <c r="I37" s="20">
        <f>724+190</f>
        <v>914</v>
      </c>
      <c r="J37" s="20">
        <f>288+194</f>
        <v>482</v>
      </c>
      <c r="K37" s="20">
        <f>327+223</f>
        <v>550</v>
      </c>
      <c r="L37" s="20">
        <f>4</f>
        <v>4</v>
      </c>
      <c r="N37" s="27">
        <f>I37*'2005-06'!C5</f>
        <v>114798.4</v>
      </c>
      <c r="O37" s="27">
        <f>J37*'2005-06'!D5</f>
        <v>40343.4</v>
      </c>
      <c r="P37" s="27">
        <f>K37*'2005-06'!E5</f>
        <v>40040</v>
      </c>
      <c r="Q37" s="27">
        <f>L37*'2005-06'!F5</f>
        <v>244</v>
      </c>
      <c r="R37" s="27"/>
      <c r="S37" s="27">
        <f>I37*'2005-06'!J5</f>
        <v>139202.2</v>
      </c>
      <c r="T37" s="27">
        <f>J37*'2005-06'!K5</f>
        <v>50754.6</v>
      </c>
      <c r="U37" s="27">
        <f>K37*'2005-06'!L5</f>
        <v>50875</v>
      </c>
      <c r="V37" s="27">
        <f>L37*'2005-06'!M5</f>
        <v>314.8</v>
      </c>
      <c r="Z37" s="26">
        <f>Z35*Z36</f>
        <v>79.8550396375991</v>
      </c>
      <c r="AA37" s="26">
        <f>AA35*AA36</f>
        <v>90.86956521739128</v>
      </c>
      <c r="AB37" s="26">
        <f>AB35*AB36</f>
        <v>69.81333333333332</v>
      </c>
      <c r="AC37" s="26">
        <f>SUM(Z37:AB37)</f>
        <v>240.53793818832372</v>
      </c>
      <c r="AD37" s="26">
        <f>AC37/AC36</f>
        <v>0.40562890082348013</v>
      </c>
    </row>
    <row r="38" spans="2:22" ht="9.75">
      <c r="B38" s="5" t="s">
        <v>51</v>
      </c>
      <c r="C38" s="19">
        <f>('2005-06'!J6-'2005-06'!C6)/'2005-06'!C6</f>
        <v>0.30060816681146824</v>
      </c>
      <c r="D38" s="19">
        <f>('2005-06'!K6-'2005-06'!D6)/'2005-06'!D6</f>
        <v>0.3356840620592383</v>
      </c>
      <c r="E38" s="19">
        <f>('2005-06'!L6-'2005-06'!E6)/'2005-06'!E6</f>
        <v>0.34585289514866985</v>
      </c>
      <c r="F38" s="19" t="s">
        <v>52</v>
      </c>
      <c r="H38" s="5" t="s">
        <v>51</v>
      </c>
      <c r="I38" s="20">
        <f>391+95</f>
        <v>486</v>
      </c>
      <c r="J38" s="20">
        <f>94+73</f>
        <v>167</v>
      </c>
      <c r="K38" s="20">
        <f>87+50</f>
        <v>137</v>
      </c>
      <c r="L38" s="20">
        <v>0</v>
      </c>
      <c r="N38" s="27">
        <f>I38*'2005-06'!C6</f>
        <v>55938.6</v>
      </c>
      <c r="O38" s="27">
        <f>J38*'2005-06'!D6</f>
        <v>11840.300000000001</v>
      </c>
      <c r="P38" s="27">
        <f>K38*'2005-06'!E6</f>
        <v>8754.3</v>
      </c>
      <c r="Q38" s="27">
        <v>0</v>
      </c>
      <c r="R38" s="27"/>
      <c r="S38" s="27">
        <f>I38*'2005-06'!J6</f>
        <v>72754.2</v>
      </c>
      <c r="T38" s="27">
        <f>J38*'2005-06'!K6</f>
        <v>15814.9</v>
      </c>
      <c r="U38" s="27">
        <f>K38*'2005-06'!L6</f>
        <v>11782</v>
      </c>
      <c r="V38" s="27">
        <v>0</v>
      </c>
    </row>
    <row r="39" spans="2:22" ht="9.75">
      <c r="B39" s="5" t="s">
        <v>19</v>
      </c>
      <c r="C39" s="19">
        <f>('2005-06'!J7-'2005-06'!C7)/'2005-06'!C7</f>
        <v>0.23558082859463852</v>
      </c>
      <c r="D39" s="19">
        <f>('2005-06'!K7-'2005-06'!D7)/'2005-06'!D7</f>
        <v>0.27932285368802895</v>
      </c>
      <c r="E39" s="19">
        <f>('2005-06'!L7-'2005-06'!E7)/'2005-06'!E7</f>
        <v>0.2867647058823529</v>
      </c>
      <c r="F39" s="19">
        <f>('2005-06'!M7-'2005-06'!F7)/'2005-06'!F7</f>
        <v>0.29740518962075846</v>
      </c>
      <c r="H39" s="5" t="s">
        <v>19</v>
      </c>
      <c r="I39" s="20">
        <f>439+91</f>
        <v>530</v>
      </c>
      <c r="J39" s="20">
        <f>200+98</f>
        <v>298</v>
      </c>
      <c r="K39" s="20">
        <f>116+125</f>
        <v>241</v>
      </c>
      <c r="L39" s="20">
        <f>6+7</f>
        <v>13</v>
      </c>
      <c r="N39" s="27">
        <f>I39*'2005-06'!C7</f>
        <v>65243</v>
      </c>
      <c r="O39" s="27">
        <f>J39*'2005-06'!D7</f>
        <v>24644.600000000002</v>
      </c>
      <c r="P39" s="27">
        <f>K39*'2005-06'!E7</f>
        <v>16388</v>
      </c>
      <c r="Q39" s="27">
        <f>L39*'2005-06'!F7</f>
        <v>651.3000000000001</v>
      </c>
      <c r="R39" s="27"/>
      <c r="S39" s="27">
        <f>I39*'2005-06'!J7</f>
        <v>80613</v>
      </c>
      <c r="T39" s="27">
        <f>J39*'2005-06'!K7</f>
        <v>31528.399999999998</v>
      </c>
      <c r="U39" s="27">
        <f>K39*'2005-06'!L7</f>
        <v>21087.5</v>
      </c>
      <c r="V39" s="27">
        <f>L39*'2005-06'!M7</f>
        <v>845</v>
      </c>
    </row>
    <row r="40" spans="2:22" ht="9.75">
      <c r="B40" s="5" t="s">
        <v>20</v>
      </c>
      <c r="C40" s="19">
        <f>('2005-06'!J8-'2005-06'!C8)/'2005-06'!C8</f>
        <v>0.255460588793922</v>
      </c>
      <c r="D40" s="19">
        <f>('2005-06'!K8-'2005-06'!D8)/'2005-06'!D8</f>
        <v>0.29760225669957674</v>
      </c>
      <c r="E40" s="19">
        <f>('2005-06'!L8-'2005-06'!E8)/'2005-06'!E8</f>
        <v>0.30985915492957755</v>
      </c>
      <c r="F40" s="19" t="s">
        <v>52</v>
      </c>
      <c r="H40" s="5" t="s">
        <v>20</v>
      </c>
      <c r="I40" s="20">
        <f>398+100</f>
        <v>498</v>
      </c>
      <c r="J40" s="20">
        <f>216+153</f>
        <v>369</v>
      </c>
      <c r="K40" s="20">
        <f>152+113</f>
        <v>265</v>
      </c>
      <c r="L40" s="20">
        <v>0</v>
      </c>
      <c r="N40" s="27">
        <f>I40*'2005-06'!C8</f>
        <v>52439.4</v>
      </c>
      <c r="O40" s="27">
        <f>J40*'2005-06'!D8</f>
        <v>26162.100000000002</v>
      </c>
      <c r="P40" s="27">
        <f>K40*'2005-06'!E8</f>
        <v>16933.5</v>
      </c>
      <c r="Q40" s="27">
        <v>0</v>
      </c>
      <c r="R40" s="27"/>
      <c r="S40" s="27">
        <f>I40*'2005-06'!J8</f>
        <v>65835.59999999999</v>
      </c>
      <c r="T40" s="27">
        <f>J40*'2005-06'!K8</f>
        <v>33948</v>
      </c>
      <c r="U40" s="27">
        <f>K40*'2005-06'!L8</f>
        <v>22180.5</v>
      </c>
      <c r="V40" s="27">
        <v>0</v>
      </c>
    </row>
    <row r="41" spans="2:22" ht="9.75">
      <c r="B41" s="5" t="s">
        <v>21</v>
      </c>
      <c r="C41" s="19">
        <f>('2005-06'!J9-'2005-06'!C9)/'2005-06'!C9</f>
        <v>0.19947961838681713</v>
      </c>
      <c r="D41" s="19">
        <f>('2005-06'!K9-'2005-06'!D9)/'2005-06'!D9</f>
        <v>0.2284980744544287</v>
      </c>
      <c r="E41" s="19">
        <f>('2005-06'!L9-'2005-06'!E9)/'2005-06'!E9</f>
        <v>0.2438650306748465</v>
      </c>
      <c r="F41" s="19">
        <f>('2005-06'!M9-'2005-06'!F9)/'2005-06'!F9</f>
        <v>0.23930269413629163</v>
      </c>
      <c r="H41" s="5" t="s">
        <v>21</v>
      </c>
      <c r="I41" s="20">
        <f>427+118</f>
        <v>545</v>
      </c>
      <c r="J41" s="20">
        <f>188+117</f>
        <v>305</v>
      </c>
      <c r="K41" s="20">
        <f>167+132</f>
        <v>299</v>
      </c>
      <c r="L41" s="20">
        <f>7+9</f>
        <v>16</v>
      </c>
      <c r="N41" s="27">
        <f>I41*'2005-06'!C9</f>
        <v>62838.5</v>
      </c>
      <c r="O41" s="27">
        <f>J41*'2005-06'!D9</f>
        <v>23759.5</v>
      </c>
      <c r="P41" s="27">
        <f>K41*'2005-06'!E9</f>
        <v>19494.8</v>
      </c>
      <c r="Q41" s="27">
        <f>L41*'2005-06'!F9</f>
        <v>1009.6</v>
      </c>
      <c r="R41" s="27"/>
      <c r="S41" s="27">
        <f>I41*'2005-06'!J9</f>
        <v>75373.5</v>
      </c>
      <c r="T41" s="27">
        <f>J41*'2005-06'!K9</f>
        <v>29188.5</v>
      </c>
      <c r="U41" s="27">
        <f>K41*'2005-06'!L9</f>
        <v>24248.899999999998</v>
      </c>
      <c r="V41" s="27">
        <f>L41*'2005-06'!M9</f>
        <v>1251.2</v>
      </c>
    </row>
    <row r="42" spans="2:22" ht="9.75">
      <c r="B42" s="5" t="s">
        <v>22</v>
      </c>
      <c r="C42" s="19">
        <f>('2005-06'!J10-'2005-06'!C10)/'2005-06'!C10</f>
        <v>0.2755004766444233</v>
      </c>
      <c r="D42" s="19">
        <f>('2005-06'!K10-'2005-06'!D10)/'2005-06'!D10</f>
        <v>0.2967032967032968</v>
      </c>
      <c r="E42" s="19">
        <f>('2005-06'!L10-'2005-06'!E10)/'2005-06'!E10</f>
        <v>0.281150159744409</v>
      </c>
      <c r="F42" s="19" t="s">
        <v>52</v>
      </c>
      <c r="H42" s="5" t="s">
        <v>22</v>
      </c>
      <c r="I42" s="20">
        <f>507+131</f>
        <v>638</v>
      </c>
      <c r="J42" s="20">
        <f>256+145</f>
        <v>401</v>
      </c>
      <c r="K42" s="20">
        <f>207+162</f>
        <v>369</v>
      </c>
      <c r="L42" s="20">
        <v>0</v>
      </c>
      <c r="N42" s="27">
        <f>I42*'2005-06'!C10</f>
        <v>66926.2</v>
      </c>
      <c r="O42" s="27">
        <f>J42*'2005-06'!D10</f>
        <v>29192.8</v>
      </c>
      <c r="P42" s="27">
        <f>K42*'2005-06'!E10</f>
        <v>23099.4</v>
      </c>
      <c r="Q42" s="27">
        <v>0</v>
      </c>
      <c r="R42" s="27"/>
      <c r="S42" s="27">
        <f>I42*'2005-06'!J10</f>
        <v>85364.40000000001</v>
      </c>
      <c r="T42" s="27">
        <f>J42*'2005-06'!K10</f>
        <v>37854.4</v>
      </c>
      <c r="U42" s="27">
        <f>K42*'2005-06'!L10</f>
        <v>29593.8</v>
      </c>
      <c r="V42" s="27">
        <v>0</v>
      </c>
    </row>
    <row r="43" spans="2:22" ht="9.75">
      <c r="B43" s="5" t="s">
        <v>23</v>
      </c>
      <c r="C43" s="19">
        <f>('2005-06'!J11-'2005-06'!C11)/'2005-06'!C11</f>
        <v>0.20914396887159534</v>
      </c>
      <c r="D43" s="19">
        <f>('2005-06'!K11-'2005-06'!D11)/'2005-06'!D11</f>
        <v>0.23087248322147655</v>
      </c>
      <c r="E43" s="19">
        <f>('2005-06'!L11-'2005-06'!E11)/'2005-06'!E11</f>
        <v>0.23773006134969324</v>
      </c>
      <c r="F43" s="19">
        <f>('2005-06'!M11-'2005-06'!F11)/'2005-06'!F11</f>
        <v>0.26457399103139007</v>
      </c>
      <c r="H43" s="5" t="s">
        <v>23</v>
      </c>
      <c r="I43" s="20">
        <f>351+82</f>
        <v>433</v>
      </c>
      <c r="J43" s="20">
        <f>180+93</f>
        <v>273</v>
      </c>
      <c r="K43" s="20">
        <f>153+93</f>
        <v>246</v>
      </c>
      <c r="L43" s="20">
        <f>75+88</f>
        <v>163</v>
      </c>
      <c r="N43" s="27">
        <f>I43*'2005-06'!C11</f>
        <v>44512.4</v>
      </c>
      <c r="O43" s="27">
        <f>J43*'2005-06'!D11</f>
        <v>20338.5</v>
      </c>
      <c r="P43" s="27">
        <f>K43*'2005-06'!E11</f>
        <v>16039.2</v>
      </c>
      <c r="Q43" s="27">
        <f>L43*'2005-06'!F11</f>
        <v>7269.8</v>
      </c>
      <c r="R43" s="27"/>
      <c r="S43" s="27">
        <f>I43*'2005-06'!J11</f>
        <v>53821.9</v>
      </c>
      <c r="T43" s="27">
        <f>J43*'2005-06'!K11</f>
        <v>25034.100000000002</v>
      </c>
      <c r="U43" s="27">
        <f>K43*'2005-06'!L11</f>
        <v>19852.2</v>
      </c>
      <c r="V43" s="27">
        <f>L43*'2005-06'!M11</f>
        <v>9193.199999999999</v>
      </c>
    </row>
    <row r="44" spans="2:22" ht="9.75">
      <c r="B44" s="5" t="s">
        <v>24</v>
      </c>
      <c r="C44" s="19">
        <f>('2005-06'!J12-'2005-06'!C12)/'2005-06'!C12</f>
        <v>0.23114593535749275</v>
      </c>
      <c r="D44" s="19">
        <f>('2005-06'!K12-'2005-06'!D12)/'2005-06'!D12</f>
        <v>0.24828532235939635</v>
      </c>
      <c r="E44" s="19">
        <f>('2005-06'!L12-'2005-06'!E12)/'2005-06'!E12</f>
        <v>0.22767857142857137</v>
      </c>
      <c r="F44" s="19">
        <f>('2005-06'!M12-'2005-06'!F12)/'2005-06'!F12</f>
        <v>0.28132387706855805</v>
      </c>
      <c r="H44" s="5" t="s">
        <v>24</v>
      </c>
      <c r="I44" s="20">
        <f>681+202</f>
        <v>883</v>
      </c>
      <c r="J44" s="20">
        <f>269+185</f>
        <v>454</v>
      </c>
      <c r="K44" s="20">
        <f>213+157</f>
        <v>370</v>
      </c>
      <c r="L44" s="20">
        <f>25+17</f>
        <v>42</v>
      </c>
      <c r="N44" s="27">
        <f>I44*'2005-06'!C12</f>
        <v>90154.29999999999</v>
      </c>
      <c r="O44" s="27">
        <f>J44*'2005-06'!D12</f>
        <v>33096.600000000006</v>
      </c>
      <c r="P44" s="27">
        <f>K44*'2005-06'!E12</f>
        <v>24864</v>
      </c>
      <c r="Q44" s="27">
        <f>L44*'2005-06'!F12</f>
        <v>1776.6</v>
      </c>
      <c r="R44" s="27"/>
      <c r="S44" s="27">
        <f>I44*'2005-06'!J12</f>
        <v>110993.1</v>
      </c>
      <c r="T44" s="27">
        <f>J44*'2005-06'!K12</f>
        <v>41314</v>
      </c>
      <c r="U44" s="27">
        <f>K44*'2005-06'!L12</f>
        <v>30525</v>
      </c>
      <c r="V44" s="27">
        <f>L44*'2005-06'!M12</f>
        <v>2276.4</v>
      </c>
    </row>
    <row r="45" spans="2:22" ht="9.75">
      <c r="B45" s="5"/>
      <c r="N45" s="27"/>
      <c r="O45" s="27"/>
      <c r="P45" s="27"/>
      <c r="Q45" s="27"/>
      <c r="R45" s="27"/>
      <c r="S45" s="27"/>
      <c r="T45" s="27"/>
      <c r="U45" s="27"/>
      <c r="V45" s="27"/>
    </row>
    <row r="46" spans="2:22" ht="9.75">
      <c r="B46" s="5" t="s">
        <v>59</v>
      </c>
      <c r="C46" s="21">
        <f>('2005-06'!J14-'2005-06'!C14)/'2005-06'!C14</f>
        <v>0.23954372623574138</v>
      </c>
      <c r="D46" s="21">
        <f>('2005-06'!K14-'2005-06'!D14)/'2005-06'!D14</f>
        <v>0.2709879597558963</v>
      </c>
      <c r="E46" s="21">
        <f>('2005-06'!L14-'2005-06'!E14)/'2005-06'!E14</f>
        <v>0.27496217851739785</v>
      </c>
      <c r="F46" s="21">
        <f>('2005-06'!M14-'2005-06'!F14)/'2005-06'!F14</f>
        <v>0.2734584450402144</v>
      </c>
      <c r="H46" s="22" t="s">
        <v>25</v>
      </c>
      <c r="I46" s="20">
        <f>SUM(I37:I44)</f>
        <v>4927</v>
      </c>
      <c r="J46" s="20">
        <f>SUM(J37:J44)</f>
        <v>2749</v>
      </c>
      <c r="K46" s="20">
        <f>SUM(K37:K44)</f>
        <v>2477</v>
      </c>
      <c r="L46" s="20">
        <f>SUM(L37:L44)</f>
        <v>238</v>
      </c>
      <c r="N46" s="27"/>
      <c r="O46" s="27"/>
      <c r="P46" s="27"/>
      <c r="Q46" s="27"/>
      <c r="R46" s="27"/>
      <c r="S46" s="27"/>
      <c r="T46" s="27"/>
      <c r="U46" s="27"/>
      <c r="V46" s="27"/>
    </row>
    <row r="47" spans="2:22" ht="9.75">
      <c r="B47" s="5"/>
      <c r="I47" s="20"/>
      <c r="J47" s="20"/>
      <c r="K47" s="20"/>
      <c r="L47" s="20"/>
      <c r="N47" s="27"/>
      <c r="O47" s="27"/>
      <c r="P47" s="27"/>
      <c r="Q47" s="27"/>
      <c r="R47" s="27"/>
      <c r="S47" s="27"/>
      <c r="T47" s="27"/>
      <c r="U47" s="27"/>
      <c r="V47" s="27"/>
    </row>
    <row r="48" spans="2:22" ht="9.75">
      <c r="B48" s="5" t="s">
        <v>26</v>
      </c>
      <c r="C48" s="21">
        <f>('2005-06'!J17-'2005-06'!C17)/'2005-06'!C17</f>
        <v>0.3772727272727273</v>
      </c>
      <c r="D48" s="21">
        <f>('2005-06'!K17-'2005-06'!D17)/'2005-06'!D17</f>
        <v>0.4294770206022187</v>
      </c>
      <c r="E48" s="21">
        <f>('2005-06'!L17-'2005-06'!E17)/'2005-06'!E17</f>
        <v>0.4115586690017512</v>
      </c>
      <c r="F48" s="21">
        <f>('2005-06'!M17-'2005-06'!F17)/'2005-06'!F17</f>
        <v>0.513715710723192</v>
      </c>
      <c r="H48" s="5" t="s">
        <v>26</v>
      </c>
      <c r="I48" s="20">
        <f>156+50</f>
        <v>206</v>
      </c>
      <c r="J48" s="20">
        <f>124+82</f>
        <v>206</v>
      </c>
      <c r="K48" s="20">
        <f>110+85</f>
        <v>195</v>
      </c>
      <c r="L48" s="20">
        <f>49+55</f>
        <v>104</v>
      </c>
      <c r="N48" s="27">
        <f>SUM(N37:N47)</f>
        <v>552850.8</v>
      </c>
      <c r="O48" s="27">
        <f>SUM(O37:O47)</f>
        <v>209377.80000000002</v>
      </c>
      <c r="P48" s="27">
        <f>SUM(P37:P47)</f>
        <v>165613.2</v>
      </c>
      <c r="Q48" s="27">
        <f>SUM(Q37:Q47)</f>
        <v>10951.300000000001</v>
      </c>
      <c r="R48" s="27"/>
      <c r="S48" s="27">
        <f>SUM(S37:S47)</f>
        <v>683957.9</v>
      </c>
      <c r="T48" s="27">
        <f>SUM(T37:T47)</f>
        <v>265436.9</v>
      </c>
      <c r="U48" s="27">
        <f>SUM(U37:U47)</f>
        <v>210144.9</v>
      </c>
      <c r="V48" s="27">
        <f>SUM(V37:V47)</f>
        <v>13880.599999999999</v>
      </c>
    </row>
    <row r="50" spans="2:12" ht="10.5" thickBot="1">
      <c r="B50" s="50" t="s">
        <v>43</v>
      </c>
      <c r="C50" s="50"/>
      <c r="D50" s="50"/>
      <c r="E50" s="50"/>
      <c r="F50" s="50"/>
      <c r="G50" s="50"/>
      <c r="H50" s="50"/>
      <c r="I50" s="50"/>
      <c r="J50" s="50"/>
      <c r="K50" s="50"/>
      <c r="L50" s="50"/>
    </row>
    <row r="51" spans="2:12" ht="9.75">
      <c r="B51" s="51" t="s">
        <v>11</v>
      </c>
      <c r="C51" s="51" t="s">
        <v>12</v>
      </c>
      <c r="D51" s="51"/>
      <c r="E51" s="51"/>
      <c r="F51" s="51"/>
      <c r="H51" s="51" t="s">
        <v>11</v>
      </c>
      <c r="I51" s="51" t="s">
        <v>13</v>
      </c>
      <c r="J51" s="51"/>
      <c r="K51" s="51"/>
      <c r="L51" s="51"/>
    </row>
    <row r="52" spans="2:22" ht="9.75">
      <c r="B52" s="51"/>
      <c r="C52" s="8" t="s">
        <v>44</v>
      </c>
      <c r="D52" s="8" t="s">
        <v>14</v>
      </c>
      <c r="E52" s="8" t="s">
        <v>15</v>
      </c>
      <c r="F52" s="8" t="s">
        <v>16</v>
      </c>
      <c r="H52" s="51"/>
      <c r="I52" s="8" t="s">
        <v>44</v>
      </c>
      <c r="J52" s="8" t="s">
        <v>14</v>
      </c>
      <c r="K52" s="8" t="s">
        <v>15</v>
      </c>
      <c r="L52" s="8" t="s">
        <v>16</v>
      </c>
      <c r="N52" s="49" t="s">
        <v>17</v>
      </c>
      <c r="O52" s="49"/>
      <c r="P52" s="49"/>
      <c r="Q52" s="49"/>
      <c r="R52" s="49"/>
      <c r="S52" s="49"/>
      <c r="T52" s="49"/>
      <c r="U52" s="49"/>
      <c r="V52" s="49"/>
    </row>
    <row r="53" spans="2:24" ht="9.75">
      <c r="B53" s="5" t="s">
        <v>18</v>
      </c>
      <c r="C53" s="19">
        <f>('2004-05'!J5-'2004-05'!C5)/'2004-05'!C5</f>
        <v>0.21131447587354402</v>
      </c>
      <c r="D53" s="19">
        <f>('2004-05'!K5-'2004-05'!D5)/'2004-05'!D5</f>
        <v>0.25245098039215697</v>
      </c>
      <c r="E53" s="19">
        <f>('2004-05'!L5-'2004-05'!E5)/'2004-05'!E5</f>
        <v>0.27123695976155</v>
      </c>
      <c r="F53" s="19">
        <f>('2004-05'!M5-'2004-05'!F5)/'2004-05'!F5</f>
        <v>0.29061371841155237</v>
      </c>
      <c r="H53" s="5" t="s">
        <v>18</v>
      </c>
      <c r="I53" s="20">
        <f>745+186</f>
        <v>931</v>
      </c>
      <c r="J53" s="20">
        <f>285+210</f>
        <v>495</v>
      </c>
      <c r="K53" s="20">
        <f>356+239</f>
        <v>595</v>
      </c>
      <c r="L53" s="20">
        <v>6</v>
      </c>
      <c r="N53" s="27">
        <f>I53*'2004-05'!C5</f>
        <v>111906.2</v>
      </c>
      <c r="O53" s="27">
        <f>J53*'2004-05'!D5</f>
        <v>40392</v>
      </c>
      <c r="P53" s="27">
        <f>K53*'2004-05'!E5</f>
        <v>39924.5</v>
      </c>
      <c r="Q53" s="27">
        <f>L53*'2004-05'!F5</f>
        <v>332.4</v>
      </c>
      <c r="R53" s="27"/>
      <c r="S53" s="27">
        <f>I53*'2004-05'!J5</f>
        <v>135553.6</v>
      </c>
      <c r="T53" s="27">
        <f>J53*'2004-05'!K5</f>
        <v>50589</v>
      </c>
      <c r="U53" s="27">
        <f>K53*'2004-05'!L5</f>
        <v>50753.5</v>
      </c>
      <c r="V53" s="27">
        <f>L53*'2004-05'!M5</f>
        <v>429</v>
      </c>
      <c r="X53" s="29"/>
    </row>
    <row r="54" spans="2:22" ht="9.75">
      <c r="B54" s="5" t="s">
        <v>51</v>
      </c>
      <c r="C54" s="19">
        <f>('2004-05'!J6-'2004-05'!C6)/'2004-05'!C6</f>
        <v>0.3001808318264016</v>
      </c>
      <c r="D54" s="19">
        <f>('2004-05'!K6-'2004-05'!D6)/'2004-05'!D6</f>
        <v>0.31140350877192974</v>
      </c>
      <c r="E54" s="19">
        <f>('2004-05'!L6-'2004-05'!E6)/'2004-05'!E6</f>
        <v>0.31311475409836054</v>
      </c>
      <c r="F54" s="19" t="s">
        <v>52</v>
      </c>
      <c r="H54" s="5" t="s">
        <v>51</v>
      </c>
      <c r="I54" s="20">
        <f>392+100</f>
        <v>492</v>
      </c>
      <c r="J54" s="20">
        <f>96+62</f>
        <v>158</v>
      </c>
      <c r="K54" s="20">
        <f>94+55</f>
        <v>149</v>
      </c>
      <c r="L54" s="20">
        <v>0</v>
      </c>
      <c r="N54" s="27">
        <f>I54*'2004-05'!C6</f>
        <v>54415.2</v>
      </c>
      <c r="O54" s="27">
        <f>J54*'2004-05'!D6</f>
        <v>10807.2</v>
      </c>
      <c r="P54" s="27">
        <f>K54*'2004-05'!E6</f>
        <v>9089</v>
      </c>
      <c r="Q54" s="27">
        <v>0</v>
      </c>
      <c r="R54" s="27"/>
      <c r="S54" s="27">
        <f>I54*'2004-05'!J6</f>
        <v>70749.6</v>
      </c>
      <c r="T54" s="27">
        <f>J54*'2004-05'!K6</f>
        <v>14172.6</v>
      </c>
      <c r="U54" s="27">
        <f>K54*'2004-05'!L6</f>
        <v>11934.9</v>
      </c>
      <c r="V54" s="27">
        <v>0</v>
      </c>
    </row>
    <row r="55" spans="2:22" ht="9.75">
      <c r="B55" s="5" t="s">
        <v>19</v>
      </c>
      <c r="C55" s="19">
        <f>('2004-05'!J7-'2004-05'!C7)/'2004-05'!C7</f>
        <v>0.23031329381879778</v>
      </c>
      <c r="D55" s="19">
        <f>('2004-05'!K7-'2004-05'!D7)/'2004-05'!D7</f>
        <v>0.27016645326504496</v>
      </c>
      <c r="E55" s="19">
        <f>('2004-05'!L7-'2004-05'!E7)/'2004-05'!E7</f>
        <v>0.277691107644306</v>
      </c>
      <c r="F55" s="19">
        <f>('2004-05'!M7-'2004-05'!F7)/'2004-05'!F7</f>
        <v>0.27054108216432865</v>
      </c>
      <c r="H55" s="5" t="s">
        <v>19</v>
      </c>
      <c r="I55" s="20">
        <f>422+84</f>
        <v>506</v>
      </c>
      <c r="J55" s="20">
        <f>196+96</f>
        <v>292</v>
      </c>
      <c r="K55" s="20">
        <f>112+108</f>
        <v>220</v>
      </c>
      <c r="L55" s="20">
        <v>13</v>
      </c>
      <c r="N55" s="27">
        <f>I55*'2004-05'!C7</f>
        <v>59758.6</v>
      </c>
      <c r="O55" s="27">
        <f>J55*'2004-05'!D7</f>
        <v>22805.199999999997</v>
      </c>
      <c r="P55" s="27">
        <f>K55*'2004-05'!E7</f>
        <v>14101.999999999998</v>
      </c>
      <c r="Q55" s="27">
        <f>L55*'2004-05'!F7</f>
        <v>648.6999999999999</v>
      </c>
      <c r="R55" s="27"/>
      <c r="S55" s="27">
        <f>I55*'2004-05'!J7</f>
        <v>73521.8</v>
      </c>
      <c r="T55" s="27">
        <f>J55*'2004-05'!K7</f>
        <v>28966.4</v>
      </c>
      <c r="U55" s="27">
        <f>K55*'2004-05'!L7</f>
        <v>18018</v>
      </c>
      <c r="V55" s="27">
        <f>L55*'2004-05'!M7</f>
        <v>824.1999999999999</v>
      </c>
    </row>
    <row r="56" spans="2:22" ht="9.75">
      <c r="B56" s="5" t="s">
        <v>20</v>
      </c>
      <c r="C56" s="19">
        <f>('2004-05'!J8-'2004-05'!C8)/'2004-05'!C8</f>
        <v>0.24805447470817135</v>
      </c>
      <c r="D56" s="19">
        <f>('2004-05'!K8-'2004-05'!D8)/'2004-05'!D8</f>
        <v>0.28219971056439946</v>
      </c>
      <c r="E56" s="19">
        <f>('2004-05'!L8-'2004-05'!E8)/'2004-05'!E8</f>
        <v>0.2982171799027551</v>
      </c>
      <c r="F56" s="19" t="s">
        <v>52</v>
      </c>
      <c r="H56" s="5" t="s">
        <v>20</v>
      </c>
      <c r="I56" s="20">
        <f>416+98</f>
        <v>514</v>
      </c>
      <c r="J56" s="20">
        <f>213+147</f>
        <v>360</v>
      </c>
      <c r="K56" s="20">
        <f>153+110</f>
        <v>263</v>
      </c>
      <c r="L56" s="20">
        <v>0</v>
      </c>
      <c r="N56" s="27">
        <f>I56*'2004-05'!C8</f>
        <v>52839.2</v>
      </c>
      <c r="O56" s="27">
        <f>J56*'2004-05'!D8</f>
        <v>24875.999999999996</v>
      </c>
      <c r="P56" s="27">
        <f>K56*'2004-05'!E8</f>
        <v>16227.1</v>
      </c>
      <c r="Q56" s="27">
        <v>0</v>
      </c>
      <c r="R56" s="27"/>
      <c r="S56" s="27">
        <f>I56*'2004-05'!J8</f>
        <v>65946.20000000001</v>
      </c>
      <c r="T56" s="27">
        <f>J56*'2004-05'!K8</f>
        <v>31895.999999999996</v>
      </c>
      <c r="U56" s="27">
        <f>K56*'2004-05'!L8</f>
        <v>21066.3</v>
      </c>
      <c r="V56" s="27">
        <v>0</v>
      </c>
    </row>
    <row r="57" spans="2:22" ht="9.75">
      <c r="B57" s="5" t="s">
        <v>21</v>
      </c>
      <c r="C57" s="19">
        <f>('2004-05'!J9-'2004-05'!C9)/'2004-05'!C9</f>
        <v>0.19077196095829624</v>
      </c>
      <c r="D57" s="19">
        <f>('2004-05'!K9-'2004-05'!D9)/'2004-05'!D9</f>
        <v>0.22020725388601037</v>
      </c>
      <c r="E57" s="19">
        <f>('2004-05'!L9-'2004-05'!E9)/'2004-05'!E9</f>
        <v>0.22796352583586627</v>
      </c>
      <c r="F57" s="19">
        <f>('2004-05'!M9-'2004-05'!F9)/'2004-05'!F9</f>
        <v>0.19248826291079812</v>
      </c>
      <c r="H57" s="5" t="s">
        <v>21</v>
      </c>
      <c r="I57" s="20">
        <f>416+114</f>
        <v>530</v>
      </c>
      <c r="J57" s="20">
        <f>167+100</f>
        <v>267</v>
      </c>
      <c r="K57" s="20">
        <f>144+100</f>
        <v>244</v>
      </c>
      <c r="L57" s="20">
        <v>4</v>
      </c>
      <c r="N57" s="27">
        <f>I57*'2004-05'!C9</f>
        <v>59731</v>
      </c>
      <c r="O57" s="27">
        <f>J57*'2004-05'!D9</f>
        <v>20612.4</v>
      </c>
      <c r="P57" s="27">
        <f>K57*'2004-05'!E9</f>
        <v>16055.199999999999</v>
      </c>
      <c r="Q57" s="27">
        <f>L57*'2004-05'!F9</f>
        <v>426</v>
      </c>
      <c r="R57" s="27"/>
      <c r="S57" s="27">
        <f>I57*'2004-05'!J9</f>
        <v>71126</v>
      </c>
      <c r="T57" s="27">
        <f>J57*'2004-05'!K9</f>
        <v>25151.4</v>
      </c>
      <c r="U57" s="27">
        <f>K57*'2004-05'!L9</f>
        <v>19715.2</v>
      </c>
      <c r="V57" s="27">
        <f>L57*'2004-05'!M9</f>
        <v>508</v>
      </c>
    </row>
    <row r="58" spans="2:22" ht="9.75">
      <c r="B58" s="5" t="s">
        <v>22</v>
      </c>
      <c r="C58" s="19">
        <f>('2004-05'!J10-'2004-05'!C10)/'2004-05'!C10</f>
        <v>0.2740667976424361</v>
      </c>
      <c r="D58" s="19">
        <f>('2004-05'!K10-'2004-05'!D10)/'2004-05'!D10</f>
        <v>0.297029702970297</v>
      </c>
      <c r="E58" s="19">
        <f>('2004-05'!L10-'2004-05'!E10)/'2004-05'!E10</f>
        <v>0.2773246329526917</v>
      </c>
      <c r="F58" s="19" t="s">
        <v>52</v>
      </c>
      <c r="H58" s="5" t="s">
        <v>22</v>
      </c>
      <c r="I58" s="20">
        <f>513+133</f>
        <v>646</v>
      </c>
      <c r="J58" s="20">
        <f>249+144</f>
        <v>393</v>
      </c>
      <c r="K58" s="20">
        <f>205+146</f>
        <v>351</v>
      </c>
      <c r="L58" s="20">
        <v>0</v>
      </c>
      <c r="N58" s="27">
        <f>I58*'2004-05'!C10</f>
        <v>65762.8</v>
      </c>
      <c r="O58" s="27">
        <f>J58*'2004-05'!D10</f>
        <v>27785.100000000002</v>
      </c>
      <c r="P58" s="27">
        <f>K58*'2004-05'!E10</f>
        <v>21516.3</v>
      </c>
      <c r="Q58" s="27">
        <v>0</v>
      </c>
      <c r="R58" s="27"/>
      <c r="S58" s="27">
        <f>I58*'2004-05'!J10</f>
        <v>83786.2</v>
      </c>
      <c r="T58" s="27">
        <f>J58*'2004-05'!K10</f>
        <v>36038.1</v>
      </c>
      <c r="U58" s="27">
        <f>K58*'2004-05'!L10</f>
        <v>27483.3</v>
      </c>
      <c r="V58" s="27">
        <v>0</v>
      </c>
    </row>
    <row r="59" spans="2:22" ht="9.75">
      <c r="B59" s="5" t="s">
        <v>23</v>
      </c>
      <c r="C59" s="19">
        <f>('2004-05'!J11-'2004-05'!C11)/'2004-05'!C11</f>
        <v>0.21669980119284307</v>
      </c>
      <c r="D59" s="19">
        <f>('2004-05'!K11-'2004-05'!D11)/'2004-05'!D11</f>
        <v>0.23933975240715255</v>
      </c>
      <c r="E59" s="19">
        <f>('2004-05'!L11-'2004-05'!E11)/'2004-05'!E11</f>
        <v>0.24761904761904752</v>
      </c>
      <c r="F59" s="19">
        <f>('2004-05'!M11-'2004-05'!F11)/'2004-05'!F11</f>
        <v>0.2753950338600452</v>
      </c>
      <c r="H59" s="5" t="s">
        <v>23</v>
      </c>
      <c r="I59" s="20">
        <f>356+76</f>
        <v>432</v>
      </c>
      <c r="J59" s="20">
        <f>172+83</f>
        <v>255</v>
      </c>
      <c r="K59" s="20">
        <f>162+91</f>
        <v>253</v>
      </c>
      <c r="L59" s="20">
        <f>78+90</f>
        <v>168</v>
      </c>
      <c r="N59" s="27">
        <f>I59*'2004-05'!C11</f>
        <v>43459.2</v>
      </c>
      <c r="O59" s="27">
        <f>J59*'2004-05'!D11</f>
        <v>18538.5</v>
      </c>
      <c r="P59" s="27">
        <f>K59*'2004-05'!E11</f>
        <v>15939</v>
      </c>
      <c r="Q59" s="27">
        <f>L59*'2004-05'!F11</f>
        <v>7442.4</v>
      </c>
      <c r="R59" s="27"/>
      <c r="S59" s="27">
        <f>I59*'2004-05'!J11</f>
        <v>52876.8</v>
      </c>
      <c r="T59" s="27">
        <f>J59*'2004-05'!K11</f>
        <v>22975.5</v>
      </c>
      <c r="U59" s="27">
        <f>K59*'2004-05'!L11</f>
        <v>19885.8</v>
      </c>
      <c r="V59" s="27">
        <f>L59*'2004-05'!M11</f>
        <v>9492</v>
      </c>
    </row>
    <row r="60" spans="2:22" ht="9.75">
      <c r="B60" s="5" t="s">
        <v>24</v>
      </c>
      <c r="C60" s="19">
        <f>('2004-05'!J12-'2004-05'!C12)/'2004-05'!C12</f>
        <v>0.22833843017329264</v>
      </c>
      <c r="D60" s="19">
        <f>('2004-05'!K12-'2004-05'!D12)/'2004-05'!D12</f>
        <v>0.24501424501424504</v>
      </c>
      <c r="E60" s="19">
        <f>('2004-05'!L12-'2004-05'!E12)/'2004-05'!E12</f>
        <v>0.21947449768160746</v>
      </c>
      <c r="F60" s="19">
        <f>('2004-05'!M12-'2004-05'!F12)/'2004-05'!F12</f>
        <v>0.2688679245283019</v>
      </c>
      <c r="H60" s="5" t="s">
        <v>24</v>
      </c>
      <c r="I60" s="20">
        <f>685+199</f>
        <v>884</v>
      </c>
      <c r="J60" s="20">
        <f>271+172</f>
        <v>443</v>
      </c>
      <c r="K60" s="20">
        <f>211+159</f>
        <v>370</v>
      </c>
      <c r="L60" s="20">
        <f>18+19</f>
        <v>37</v>
      </c>
      <c r="N60" s="27">
        <f>I60*'2004-05'!C12</f>
        <v>86720.4</v>
      </c>
      <c r="O60" s="27">
        <f>J60*'2004-05'!D12</f>
        <v>31098.600000000002</v>
      </c>
      <c r="P60" s="27">
        <f>K60*'2004-05'!E12</f>
        <v>23939</v>
      </c>
      <c r="Q60" s="27">
        <f>L60*'2004-05'!F12</f>
        <v>1568.8</v>
      </c>
      <c r="R60" s="27"/>
      <c r="S60" s="27">
        <f>I60*'2004-05'!J12</f>
        <v>106522</v>
      </c>
      <c r="T60" s="27">
        <f>J60*'2004-05'!K12</f>
        <v>38718.200000000004</v>
      </c>
      <c r="U60" s="27">
        <f>K60*'2004-05'!L12</f>
        <v>29193.000000000004</v>
      </c>
      <c r="V60" s="27">
        <f>L60*'2004-05'!M12</f>
        <v>1990.6</v>
      </c>
    </row>
    <row r="61" spans="2:22" ht="9.75">
      <c r="B61" s="5"/>
      <c r="N61" s="27"/>
      <c r="O61" s="27"/>
      <c r="P61" s="27"/>
      <c r="Q61" s="27"/>
      <c r="R61" s="27"/>
      <c r="S61" s="27"/>
      <c r="T61" s="27"/>
      <c r="U61" s="27"/>
      <c r="V61" s="27"/>
    </row>
    <row r="62" spans="2:22" ht="9.75">
      <c r="B62" s="5" t="s">
        <v>59</v>
      </c>
      <c r="C62" s="21">
        <f>('2004-05'!J14-'2004-05'!C14)/'2004-05'!C14</f>
        <v>0.23690600069372206</v>
      </c>
      <c r="D62" s="21">
        <f>('2004-05'!K14-'2004-05'!D14)/'2004-05'!D14</f>
        <v>0.2637755102040817</v>
      </c>
      <c r="E62" s="21">
        <f>('2004-05'!L14-'2004-05'!E14)/'2004-05'!E14</f>
        <v>0.2659720857086692</v>
      </c>
      <c r="F62" s="21">
        <f>('2004-05'!M14-'2004-05'!F14)/'2004-05'!F14</f>
        <v>0.24690117252931312</v>
      </c>
      <c r="H62" s="22" t="s">
        <v>25</v>
      </c>
      <c r="I62" s="20">
        <f>SUM(I53:I60)</f>
        <v>4935</v>
      </c>
      <c r="J62" s="20">
        <f>SUM(J53:J60)</f>
        <v>2663</v>
      </c>
      <c r="K62" s="20">
        <f>SUM(K53:K60)</f>
        <v>2445</v>
      </c>
      <c r="L62" s="20">
        <f>SUM(L53:L60)</f>
        <v>228</v>
      </c>
      <c r="N62" s="27"/>
      <c r="O62" s="27"/>
      <c r="P62" s="27"/>
      <c r="Q62" s="27"/>
      <c r="R62" s="27"/>
      <c r="S62" s="27"/>
      <c r="T62" s="27"/>
      <c r="U62" s="27"/>
      <c r="V62" s="27"/>
    </row>
    <row r="63" spans="2:22" ht="9.75">
      <c r="B63" s="5"/>
      <c r="I63" s="20"/>
      <c r="J63" s="20"/>
      <c r="K63" s="20"/>
      <c r="L63" s="20"/>
      <c r="N63" s="27"/>
      <c r="O63" s="27"/>
      <c r="P63" s="27"/>
      <c r="Q63" s="27"/>
      <c r="R63" s="27"/>
      <c r="S63" s="27"/>
      <c r="T63" s="27"/>
      <c r="U63" s="27"/>
      <c r="V63" s="27"/>
    </row>
    <row r="64" spans="2:22" ht="9.75">
      <c r="B64" s="5" t="s">
        <v>26</v>
      </c>
      <c r="C64" s="21">
        <f>('2004-05'!J17-'2004-05'!C17)/'2004-05'!C17</f>
        <v>0.31937799043062204</v>
      </c>
      <c r="D64" s="21">
        <f>('2004-05'!K17-'2004-05'!D17)/'2004-05'!D17</f>
        <v>0.3745762711864406</v>
      </c>
      <c r="E64" s="21">
        <f>('2004-05'!L17-'2004-05'!E17)/'2004-05'!E17</f>
        <v>0.3621323529411764</v>
      </c>
      <c r="F64" s="21">
        <f>('2004-05'!M17-'2004-05'!F17)/'2004-05'!F17</f>
        <v>0.4635416666666668</v>
      </c>
      <c r="H64" s="5" t="s">
        <v>26</v>
      </c>
      <c r="I64" s="20">
        <f>156+47</f>
        <v>203</v>
      </c>
      <c r="J64" s="20">
        <f>115+83</f>
        <v>198</v>
      </c>
      <c r="K64" s="20">
        <f>111+72</f>
        <v>183</v>
      </c>
      <c r="L64" s="20">
        <f>47+55</f>
        <v>102</v>
      </c>
      <c r="N64" s="27">
        <f>SUM(N53:N63)</f>
        <v>534592.6</v>
      </c>
      <c r="O64" s="27">
        <f>SUM(O53:O63)</f>
        <v>196915</v>
      </c>
      <c r="P64" s="27">
        <f>SUM(P53:P63)</f>
        <v>156792.1</v>
      </c>
      <c r="Q64" s="27">
        <f>SUM(Q53:Q63)</f>
        <v>10418.3</v>
      </c>
      <c r="R64" s="27"/>
      <c r="S64" s="27">
        <f>SUM(S53:S63)</f>
        <v>660082.2000000001</v>
      </c>
      <c r="T64" s="27">
        <f>SUM(T53:T63)</f>
        <v>248507.2</v>
      </c>
      <c r="U64" s="27">
        <f>SUM(U53:U63)</f>
        <v>198049.99999999997</v>
      </c>
      <c r="V64" s="27">
        <f>SUM(V53:V63)</f>
        <v>13243.800000000001</v>
      </c>
    </row>
    <row r="65" spans="14:22" ht="9.75">
      <c r="N65" s="27"/>
      <c r="O65" s="27"/>
      <c r="P65" s="27"/>
      <c r="Q65" s="27"/>
      <c r="R65" s="27"/>
      <c r="S65" s="27"/>
      <c r="T65" s="27"/>
      <c r="U65" s="27"/>
      <c r="V65" s="27"/>
    </row>
    <row r="66" spans="2:22" ht="10.5" thickBot="1">
      <c r="B66" s="50" t="s">
        <v>1</v>
      </c>
      <c r="C66" s="50"/>
      <c r="D66" s="50"/>
      <c r="E66" s="50"/>
      <c r="F66" s="50"/>
      <c r="G66" s="50"/>
      <c r="H66" s="50"/>
      <c r="I66" s="50"/>
      <c r="J66" s="50"/>
      <c r="K66" s="50"/>
      <c r="L66" s="50"/>
      <c r="N66" s="27"/>
      <c r="O66" s="27"/>
      <c r="P66" s="27"/>
      <c r="Q66" s="27"/>
      <c r="R66" s="27"/>
      <c r="S66" s="27"/>
      <c r="T66" s="27"/>
      <c r="U66" s="27"/>
      <c r="V66" s="27"/>
    </row>
    <row r="67" spans="2:22" ht="9.75">
      <c r="B67" s="51" t="s">
        <v>11</v>
      </c>
      <c r="C67" s="51" t="s">
        <v>12</v>
      </c>
      <c r="D67" s="51"/>
      <c r="E67" s="51"/>
      <c r="F67" s="51"/>
      <c r="H67" s="51" t="s">
        <v>11</v>
      </c>
      <c r="I67" s="51" t="s">
        <v>13</v>
      </c>
      <c r="J67" s="51"/>
      <c r="K67" s="51"/>
      <c r="L67" s="51"/>
      <c r="N67" s="27"/>
      <c r="O67" s="27"/>
      <c r="P67" s="27"/>
      <c r="Q67" s="27"/>
      <c r="R67" s="27"/>
      <c r="S67" s="27"/>
      <c r="T67" s="27"/>
      <c r="U67" s="27"/>
      <c r="V67" s="27"/>
    </row>
    <row r="68" spans="2:22" ht="9.75">
      <c r="B68" s="51"/>
      <c r="C68" s="8" t="s">
        <v>44</v>
      </c>
      <c r="D68" s="8" t="s">
        <v>14</v>
      </c>
      <c r="E68" s="8" t="s">
        <v>15</v>
      </c>
      <c r="F68" s="8" t="s">
        <v>16</v>
      </c>
      <c r="H68" s="51"/>
      <c r="I68" s="8" t="s">
        <v>44</v>
      </c>
      <c r="J68" s="8" t="s">
        <v>14</v>
      </c>
      <c r="K68" s="8" t="s">
        <v>15</v>
      </c>
      <c r="L68" s="8" t="s">
        <v>16</v>
      </c>
      <c r="N68" s="52" t="s">
        <v>17</v>
      </c>
      <c r="O68" s="52"/>
      <c r="P68" s="52"/>
      <c r="Q68" s="52"/>
      <c r="R68" s="52"/>
      <c r="S68" s="52"/>
      <c r="T68" s="52"/>
      <c r="U68" s="52"/>
      <c r="V68" s="52"/>
    </row>
    <row r="69" spans="2:22" ht="9.75">
      <c r="B69" s="5" t="s">
        <v>18</v>
      </c>
      <c r="C69" s="21">
        <f>('2003-04'!J5-'2003-04'!C5)/'2003-04'!C5</f>
        <v>0.20882852292020382</v>
      </c>
      <c r="D69" s="21">
        <f>('2003-04'!K5-'2003-04'!D5)/'2003-04'!D5</f>
        <v>0.24598269468479592</v>
      </c>
      <c r="E69" s="21">
        <f>('2003-04'!L5-'2003-04'!E5)/'2003-04'!E5</f>
        <v>0.2638680659670164</v>
      </c>
      <c r="F69" s="21">
        <f>('2003-04'!M5-'2003-04'!F5)/'2003-04'!F5</f>
        <v>0.27568493150684936</v>
      </c>
      <c r="H69" s="5" t="s">
        <v>18</v>
      </c>
      <c r="I69" s="20">
        <v>877</v>
      </c>
      <c r="J69" s="20">
        <v>461</v>
      </c>
      <c r="K69" s="20">
        <v>575</v>
      </c>
      <c r="L69" s="20">
        <v>7</v>
      </c>
      <c r="N69" s="27">
        <f>I69*'2003-04'!C5</f>
        <v>103310.59999999999</v>
      </c>
      <c r="O69" s="27">
        <f>J69*'2003-04'!D5</f>
        <v>37294.9</v>
      </c>
      <c r="P69" s="27">
        <f>K69*'2003-04'!E5</f>
        <v>38352.5</v>
      </c>
      <c r="Q69" s="27">
        <f>L69*'2003-04'!F5</f>
        <v>408.8</v>
      </c>
      <c r="R69" s="27"/>
      <c r="S69" s="27">
        <f>I69*'2003-04'!J5</f>
        <v>124884.8</v>
      </c>
      <c r="T69" s="27">
        <f>J69*'2003-04'!K5</f>
        <v>46468.799999999996</v>
      </c>
      <c r="U69" s="27">
        <f>K69*'2003-04'!L5</f>
        <v>48472.5</v>
      </c>
      <c r="V69" s="27">
        <f>L69*'2003-04'!M5</f>
        <v>521.5</v>
      </c>
    </row>
    <row r="70" spans="2:22" ht="9.75">
      <c r="B70" s="5" t="s">
        <v>51</v>
      </c>
      <c r="C70" s="21">
        <f>('2003-04'!J6-'2003-04'!C6)/'2003-04'!C6</f>
        <v>0.291058394160584</v>
      </c>
      <c r="D70" s="21">
        <f>('2003-04'!K6-'2003-04'!D6)/'2003-04'!D6</f>
        <v>0.30428571428571427</v>
      </c>
      <c r="E70" s="21">
        <f>('2003-04'!L6-'2003-04'!E6)/'2003-04'!E6</f>
        <v>0.3033333333333334</v>
      </c>
      <c r="F70" s="21" t="s">
        <v>52</v>
      </c>
      <c r="H70" s="5" t="s">
        <v>51</v>
      </c>
      <c r="I70" s="20">
        <v>478</v>
      </c>
      <c r="J70" s="20">
        <v>154</v>
      </c>
      <c r="K70" s="20">
        <v>155</v>
      </c>
      <c r="L70" s="20">
        <v>0</v>
      </c>
      <c r="N70" s="27">
        <f>I70*'2003-04'!C6</f>
        <v>52388.799999999996</v>
      </c>
      <c r="O70" s="27">
        <f>J70*'2003-04'!D6</f>
        <v>10780</v>
      </c>
      <c r="P70" s="27">
        <f>K70*'2003-04'!E6</f>
        <v>9300</v>
      </c>
      <c r="Q70" s="27">
        <v>0</v>
      </c>
      <c r="R70" s="27"/>
      <c r="S70" s="27">
        <f>I70*'2003-04'!J6</f>
        <v>67637</v>
      </c>
      <c r="T70" s="27">
        <f>J70*'2003-04'!K6</f>
        <v>14060.199999999999</v>
      </c>
      <c r="U70" s="27">
        <f>K70*'2003-04'!L6</f>
        <v>12121</v>
      </c>
      <c r="V70" s="27">
        <v>0</v>
      </c>
    </row>
    <row r="71" spans="2:22" ht="9.75">
      <c r="B71" s="5" t="s">
        <v>19</v>
      </c>
      <c r="C71" s="21">
        <f>('2003-04'!J7-'2003-04'!C7)/'2003-04'!C7</f>
        <v>0.23117803365810446</v>
      </c>
      <c r="D71" s="21">
        <f>('2003-04'!K7-'2003-04'!D7)/'2003-04'!D7</f>
        <v>0.26498002663115855</v>
      </c>
      <c r="E71" s="21">
        <f>('2003-04'!L7-'2003-04'!E7)/'2003-04'!E7</f>
        <v>0.274671052631579</v>
      </c>
      <c r="F71" s="21">
        <f>('2003-04'!M7-'2003-04'!F7)/'2003-04'!F7</f>
        <v>0.2882483370288248</v>
      </c>
      <c r="H71" s="5" t="s">
        <v>19</v>
      </c>
      <c r="I71" s="20">
        <v>522</v>
      </c>
      <c r="J71" s="20">
        <v>286</v>
      </c>
      <c r="K71" s="20">
        <v>222</v>
      </c>
      <c r="L71" s="20">
        <v>10</v>
      </c>
      <c r="N71" s="27">
        <f>I71*'2003-04'!C7</f>
        <v>58933.8</v>
      </c>
      <c r="O71" s="27">
        <f>J71*'2003-04'!D7</f>
        <v>21478.6</v>
      </c>
      <c r="P71" s="27">
        <f>K71*'2003-04'!E7</f>
        <v>13497.599999999999</v>
      </c>
      <c r="Q71" s="27">
        <f>L71*'2003-04'!F7</f>
        <v>451</v>
      </c>
      <c r="R71" s="27"/>
      <c r="S71" s="27">
        <f>I71*'2003-04'!J7</f>
        <v>72558</v>
      </c>
      <c r="T71" s="27">
        <f>J71*'2003-04'!K7</f>
        <v>27170</v>
      </c>
      <c r="U71" s="27">
        <f>K71*'2003-04'!L7</f>
        <v>17205</v>
      </c>
      <c r="V71" s="27">
        <f>L71*'2003-04'!M7</f>
        <v>581</v>
      </c>
    </row>
    <row r="72" spans="2:22" ht="9.75">
      <c r="B72" s="5" t="s">
        <v>20</v>
      </c>
      <c r="C72" s="21">
        <f>('2003-04'!J8-'2003-04'!C8)/'2003-04'!C8</f>
        <v>0.24503968253968259</v>
      </c>
      <c r="D72" s="21">
        <f>('2003-04'!K8-'2003-04'!D8)/'2003-04'!D8</f>
        <v>0.28296296296296286</v>
      </c>
      <c r="E72" s="21">
        <f>('2003-04'!L8-'2003-04'!E8)/'2003-04'!E8</f>
        <v>0.29431438127090315</v>
      </c>
      <c r="F72" s="21" t="s">
        <v>52</v>
      </c>
      <c r="H72" s="5" t="s">
        <v>20</v>
      </c>
      <c r="I72" s="20">
        <v>524</v>
      </c>
      <c r="J72" s="20">
        <v>348</v>
      </c>
      <c r="K72" s="20">
        <v>262</v>
      </c>
      <c r="L72" s="20">
        <v>0</v>
      </c>
      <c r="N72" s="27">
        <f>I72*'2003-04'!C8</f>
        <v>52819.2</v>
      </c>
      <c r="O72" s="27">
        <f>J72*'2003-04'!D8</f>
        <v>23490</v>
      </c>
      <c r="P72" s="27">
        <f>K72*'2003-04'!E8</f>
        <v>15667.599999999999</v>
      </c>
      <c r="Q72" s="27">
        <v>0</v>
      </c>
      <c r="R72" s="27"/>
      <c r="S72" s="27">
        <f>I72*'2003-04'!J8</f>
        <v>65762</v>
      </c>
      <c r="T72" s="27">
        <f>J72*'2003-04'!K8</f>
        <v>30136.8</v>
      </c>
      <c r="U72" s="27">
        <f>K72*'2003-04'!L8</f>
        <v>20278.800000000003</v>
      </c>
      <c r="V72" s="27">
        <v>0</v>
      </c>
    </row>
    <row r="73" spans="2:22" ht="9.75">
      <c r="B73" s="5" t="s">
        <v>21</v>
      </c>
      <c r="C73" s="21">
        <f>('2003-04'!J9-'2003-04'!C9)/'2003-04'!C9</f>
        <v>0.18908748824082794</v>
      </c>
      <c r="D73" s="21">
        <f>('2003-04'!K9-'2003-04'!D9)/'2003-04'!D9</f>
        <v>0.21997300944669382</v>
      </c>
      <c r="E73" s="21">
        <f>('2003-04'!L9-'2003-04'!E9)/'2003-04'!E9</f>
        <v>0.23300970873786417</v>
      </c>
      <c r="F73" s="21">
        <f>('2003-04'!M9-'2003-04'!F9)/'2003-04'!F9</f>
        <v>0.22511485451761107</v>
      </c>
      <c r="H73" s="5" t="s">
        <v>21</v>
      </c>
      <c r="I73" s="20">
        <v>528</v>
      </c>
      <c r="J73" s="20">
        <v>286</v>
      </c>
      <c r="K73" s="20">
        <v>239</v>
      </c>
      <c r="L73" s="20">
        <v>9</v>
      </c>
      <c r="N73" s="27">
        <f>I73*'2003-04'!C9</f>
        <v>56126.4</v>
      </c>
      <c r="O73" s="27">
        <f>J73*'2003-04'!D9</f>
        <v>21192.6</v>
      </c>
      <c r="P73" s="27">
        <f>K73*'2003-04'!E9</f>
        <v>14770.199999999999</v>
      </c>
      <c r="Q73" s="27">
        <f>L73*'2003-04'!F9</f>
        <v>587.6999999999999</v>
      </c>
      <c r="R73" s="27"/>
      <c r="S73" s="27">
        <f>I73*'2003-04'!J9</f>
        <v>66739.2</v>
      </c>
      <c r="T73" s="27">
        <f>J73*'2003-04'!K9</f>
        <v>25854.4</v>
      </c>
      <c r="U73" s="27">
        <f>K73*'2003-04'!L9</f>
        <v>18211.8</v>
      </c>
      <c r="V73" s="27">
        <f>L73*'2003-04'!M9</f>
        <v>720</v>
      </c>
    </row>
    <row r="74" spans="2:22" ht="9.75">
      <c r="B74" s="5" t="s">
        <v>22</v>
      </c>
      <c r="C74" s="21">
        <f>('2003-04'!J10-'2003-04'!C10)/'2003-04'!C10</f>
        <v>0.27648839556004046</v>
      </c>
      <c r="D74" s="21">
        <f>('2003-04'!K10-'2003-04'!D10)/'2003-04'!D10</f>
        <v>0.29927007299270075</v>
      </c>
      <c r="E74" s="21">
        <f>('2003-04'!L10-'2003-04'!E10)/'2003-04'!E10</f>
        <v>0.2818791946308725</v>
      </c>
      <c r="F74" s="21" t="s">
        <v>52</v>
      </c>
      <c r="H74" s="5" t="s">
        <v>22</v>
      </c>
      <c r="I74" s="20">
        <v>634</v>
      </c>
      <c r="J74" s="20">
        <v>387</v>
      </c>
      <c r="K74" s="20">
        <v>311</v>
      </c>
      <c r="L74" s="20">
        <v>0</v>
      </c>
      <c r="N74" s="27">
        <f>I74*'2003-04'!C10</f>
        <v>62829.399999999994</v>
      </c>
      <c r="O74" s="27">
        <f>J74*'2003-04'!D10</f>
        <v>26509.5</v>
      </c>
      <c r="P74" s="27">
        <f>K74*'2003-04'!E10</f>
        <v>18535.600000000002</v>
      </c>
      <c r="Q74" s="27">
        <v>0</v>
      </c>
      <c r="R74" s="27"/>
      <c r="S74" s="27">
        <f>I74*'2003-04'!J10</f>
        <v>80201</v>
      </c>
      <c r="T74" s="27">
        <f>J74*'2003-04'!K10</f>
        <v>34443</v>
      </c>
      <c r="U74" s="27">
        <f>K74*'2003-04'!L10</f>
        <v>23760.4</v>
      </c>
      <c r="V74" s="27">
        <v>0</v>
      </c>
    </row>
    <row r="75" spans="2:22" ht="9.75">
      <c r="B75" s="5" t="s">
        <v>23</v>
      </c>
      <c r="C75" s="21">
        <f>('2003-04'!J11-'2003-04'!C11)/'2003-04'!C11</f>
        <v>0.20630081300813005</v>
      </c>
      <c r="D75" s="21">
        <f>('2003-04'!K11-'2003-04'!D11)/'2003-04'!D11</f>
        <v>0.2261235955056179</v>
      </c>
      <c r="E75" s="21">
        <f>('2003-04'!L11-'2003-04'!E11)/'2003-04'!E11</f>
        <v>0.2327868852459017</v>
      </c>
      <c r="F75" s="21">
        <f>('2003-04'!M11-'2003-04'!F11)/'2003-04'!F11</f>
        <v>0.2528473804100228</v>
      </c>
      <c r="H75" s="5" t="s">
        <v>23</v>
      </c>
      <c r="I75" s="20">
        <v>413</v>
      </c>
      <c r="J75" s="20">
        <v>284</v>
      </c>
      <c r="K75" s="20">
        <v>247</v>
      </c>
      <c r="L75" s="20">
        <v>161</v>
      </c>
      <c r="N75" s="27">
        <f>I75*'2003-04'!C11</f>
        <v>40639.200000000004</v>
      </c>
      <c r="O75" s="27">
        <f>J75*'2003-04'!D11</f>
        <v>20220.8</v>
      </c>
      <c r="P75" s="27">
        <f>K75*'2003-04'!E11</f>
        <v>15067</v>
      </c>
      <c r="Q75" s="27">
        <f>L75*'2003-04'!F11</f>
        <v>7067.9</v>
      </c>
      <c r="R75" s="27"/>
      <c r="S75" s="27">
        <f>I75*'2003-04'!J11</f>
        <v>49023.1</v>
      </c>
      <c r="T75" s="27">
        <f>J75*'2003-04'!K11</f>
        <v>24793.2</v>
      </c>
      <c r="U75" s="27">
        <f>K75*'2003-04'!L11</f>
        <v>18574.4</v>
      </c>
      <c r="V75" s="27">
        <f>L75*'2003-04'!M11</f>
        <v>8855</v>
      </c>
    </row>
    <row r="76" spans="2:22" ht="9.75">
      <c r="B76" s="5" t="s">
        <v>24</v>
      </c>
      <c r="C76" s="21">
        <f>('2003-04'!J12-'2003-04'!C12)/'2003-04'!C12</f>
        <v>0.22103004291845488</v>
      </c>
      <c r="D76" s="21">
        <f>('2003-04'!K12-'2003-04'!D12)/'2003-04'!D12</f>
        <v>0.23538230884557723</v>
      </c>
      <c r="E76" s="21">
        <f>('2003-04'!L12-'2003-04'!E12)/'2003-04'!E12</f>
        <v>0.20411392405063278</v>
      </c>
      <c r="F76" s="21">
        <f>('2003-04'!M12-'2003-04'!F12)/'2003-04'!F12</f>
        <v>0.24532710280373834</v>
      </c>
      <c r="H76" s="5" t="s">
        <v>24</v>
      </c>
      <c r="I76" s="20">
        <v>888</v>
      </c>
      <c r="J76" s="20">
        <v>420</v>
      </c>
      <c r="K76" s="20">
        <v>376</v>
      </c>
      <c r="L76" s="20">
        <v>25</v>
      </c>
      <c r="N76" s="27">
        <f>I76*'2003-04'!C12</f>
        <v>82761.6</v>
      </c>
      <c r="O76" s="27">
        <f>J76*'2003-04'!D12</f>
        <v>28014</v>
      </c>
      <c r="P76" s="27">
        <f>K76*'2003-04'!E12</f>
        <v>23763.2</v>
      </c>
      <c r="Q76" s="27">
        <f>L76*'2003-04'!F12</f>
        <v>1070</v>
      </c>
      <c r="R76" s="27"/>
      <c r="S76" s="27">
        <f>I76*'2003-04'!J12</f>
        <v>101054.4</v>
      </c>
      <c r="T76" s="27">
        <f>J76*'2003-04'!K12</f>
        <v>34608</v>
      </c>
      <c r="U76" s="27">
        <f>K76*'2003-04'!L12</f>
        <v>28613.6</v>
      </c>
      <c r="V76" s="27">
        <f>L76*'2003-04'!M12</f>
        <v>1332.5</v>
      </c>
    </row>
    <row r="77" spans="2:22" ht="9.75">
      <c r="B77" s="5"/>
      <c r="N77" s="27"/>
      <c r="O77" s="27"/>
      <c r="P77" s="27"/>
      <c r="Q77" s="27"/>
      <c r="R77" s="27"/>
      <c r="S77" s="27"/>
      <c r="T77" s="27"/>
      <c r="U77" s="27"/>
      <c r="V77" s="27"/>
    </row>
    <row r="78" spans="2:22" ht="9.75">
      <c r="B78" s="5" t="s">
        <v>59</v>
      </c>
      <c r="C78" s="21">
        <f>('2003-04'!J14-'2003-04'!C14)/'2003-04'!C14</f>
        <v>0.23350435508889145</v>
      </c>
      <c r="D78" s="21">
        <f>('2003-04'!K14-'2003-04'!D14)/'2003-04'!D14</f>
        <v>0.25923344947735183</v>
      </c>
      <c r="E78" s="21">
        <f>('2003-04'!L14-'2003-04'!E14)/'2003-04'!E14</f>
        <v>0.26049908703590996</v>
      </c>
      <c r="F78" s="21">
        <f>('2003-04'!M14-'2003-04'!F14)/'2003-04'!F14</f>
        <v>0.25596868884540125</v>
      </c>
      <c r="H78" s="22" t="s">
        <v>25</v>
      </c>
      <c r="I78" s="20">
        <f>SUM(I69:I76)</f>
        <v>4864</v>
      </c>
      <c r="J78" s="20">
        <f>SUM(J69:J76)</f>
        <v>2626</v>
      </c>
      <c r="K78" s="20">
        <f>SUM(K69:K76)</f>
        <v>2387</v>
      </c>
      <c r="L78" s="20">
        <f>SUM(L69:L76)</f>
        <v>212</v>
      </c>
      <c r="N78" s="27"/>
      <c r="O78" s="27"/>
      <c r="P78" s="27"/>
      <c r="Q78" s="27"/>
      <c r="R78" s="27"/>
      <c r="S78" s="27"/>
      <c r="T78" s="27"/>
      <c r="U78" s="27"/>
      <c r="V78" s="27"/>
    </row>
    <row r="79" spans="2:22" ht="9.75">
      <c r="B79" s="5"/>
      <c r="I79" s="20"/>
      <c r="J79" s="20"/>
      <c r="K79" s="20"/>
      <c r="L79" s="20"/>
      <c r="N79" s="27"/>
      <c r="O79" s="27"/>
      <c r="P79" s="27"/>
      <c r="Q79" s="27"/>
      <c r="R79" s="27"/>
      <c r="S79" s="27"/>
      <c r="T79" s="27"/>
      <c r="U79" s="27"/>
      <c r="V79" s="27"/>
    </row>
    <row r="80" spans="2:22" ht="9.75">
      <c r="B80" s="5" t="s">
        <v>26</v>
      </c>
      <c r="C80" s="21">
        <f>('2003-04'!J17-'2003-04'!C17)/'2003-04'!C17</f>
        <v>0.32009626955475345</v>
      </c>
      <c r="D80" s="21">
        <f>('2003-04'!K17-'2003-04'!D17)/'2003-04'!D17</f>
        <v>0.3517587939698492</v>
      </c>
      <c r="E80" s="21">
        <f>('2003-04'!L17-'2003-04'!E17)/'2003-04'!E17</f>
        <v>0.36105860113421556</v>
      </c>
      <c r="F80" s="21">
        <f>('2003-04'!M17-'2003-04'!F17)/'2003-04'!F17</f>
        <v>0.4224598930481285</v>
      </c>
      <c r="H80" s="5" t="s">
        <v>26</v>
      </c>
      <c r="I80" s="20">
        <v>196</v>
      </c>
      <c r="J80" s="20">
        <v>203</v>
      </c>
      <c r="K80" s="20">
        <v>190</v>
      </c>
      <c r="L80" s="20">
        <v>99</v>
      </c>
      <c r="N80" s="27">
        <f>SUM(N69:N79)</f>
        <v>509809.0000000001</v>
      </c>
      <c r="O80" s="27">
        <f>SUM(O69:O79)</f>
        <v>188980.4</v>
      </c>
      <c r="P80" s="27">
        <f>SUM(P69:P79)</f>
        <v>148953.7</v>
      </c>
      <c r="Q80" s="27">
        <f>SUM(Q69:Q79)</f>
        <v>9585.4</v>
      </c>
      <c r="R80" s="27"/>
      <c r="S80" s="27">
        <f>SUM(S69:S79)</f>
        <v>627859.5</v>
      </c>
      <c r="T80" s="27">
        <f>SUM(T69:T79)</f>
        <v>237534.40000000002</v>
      </c>
      <c r="U80" s="27">
        <f>SUM(U69:U79)</f>
        <v>187237.5</v>
      </c>
      <c r="V80" s="27">
        <f>SUM(V69:V79)</f>
        <v>12010</v>
      </c>
    </row>
    <row r="81" spans="2:22" ht="9.75">
      <c r="B81" s="23"/>
      <c r="C81" s="24"/>
      <c r="D81" s="24"/>
      <c r="E81" s="24"/>
      <c r="F81" s="24"/>
      <c r="G81" s="12"/>
      <c r="H81" s="12"/>
      <c r="I81" s="12"/>
      <c r="J81" s="12"/>
      <c r="K81" s="12"/>
      <c r="L81" s="12"/>
      <c r="M81" s="12"/>
      <c r="N81" s="28"/>
      <c r="O81" s="28"/>
      <c r="P81" s="28"/>
      <c r="Q81" s="28"/>
      <c r="R81" s="28"/>
      <c r="S81" s="28"/>
      <c r="T81" s="28"/>
      <c r="U81" s="28"/>
      <c r="V81" s="28"/>
    </row>
    <row r="82" spans="2:22" ht="10.5" thickBot="1">
      <c r="B82" s="50" t="s">
        <v>2</v>
      </c>
      <c r="C82" s="50"/>
      <c r="D82" s="50"/>
      <c r="E82" s="50"/>
      <c r="F82" s="50"/>
      <c r="G82" s="50"/>
      <c r="H82" s="50"/>
      <c r="I82" s="50"/>
      <c r="J82" s="50"/>
      <c r="K82" s="50"/>
      <c r="L82" s="50"/>
      <c r="N82" s="27"/>
      <c r="O82" s="27"/>
      <c r="P82" s="27"/>
      <c r="Q82" s="27"/>
      <c r="R82" s="27"/>
      <c r="S82" s="27"/>
      <c r="T82" s="27"/>
      <c r="U82" s="27"/>
      <c r="V82" s="27"/>
    </row>
    <row r="83" spans="2:22" ht="9.75">
      <c r="B83" s="51" t="s">
        <v>11</v>
      </c>
      <c r="C83" s="51" t="s">
        <v>12</v>
      </c>
      <c r="D83" s="51"/>
      <c r="E83" s="51"/>
      <c r="F83" s="51"/>
      <c r="H83" s="51" t="s">
        <v>11</v>
      </c>
      <c r="I83" s="51" t="s">
        <v>13</v>
      </c>
      <c r="J83" s="51"/>
      <c r="K83" s="51"/>
      <c r="L83" s="51"/>
      <c r="N83" s="27"/>
      <c r="O83" s="27"/>
      <c r="P83" s="27"/>
      <c r="Q83" s="27"/>
      <c r="R83" s="27"/>
      <c r="S83" s="27"/>
      <c r="T83" s="27"/>
      <c r="U83" s="27"/>
      <c r="V83" s="27"/>
    </row>
    <row r="84" spans="2:22" ht="9.75">
      <c r="B84" s="51"/>
      <c r="C84" s="8" t="s">
        <v>44</v>
      </c>
      <c r="D84" s="8" t="s">
        <v>14</v>
      </c>
      <c r="E84" s="8" t="s">
        <v>15</v>
      </c>
      <c r="F84" s="8" t="s">
        <v>16</v>
      </c>
      <c r="H84" s="51"/>
      <c r="I84" s="8" t="s">
        <v>44</v>
      </c>
      <c r="J84" s="8" t="s">
        <v>14</v>
      </c>
      <c r="K84" s="8" t="s">
        <v>15</v>
      </c>
      <c r="L84" s="8" t="s">
        <v>16</v>
      </c>
      <c r="N84" s="52" t="s">
        <v>17</v>
      </c>
      <c r="O84" s="52"/>
      <c r="P84" s="52"/>
      <c r="Q84" s="52"/>
      <c r="R84" s="52"/>
      <c r="S84" s="52"/>
      <c r="T84" s="52"/>
      <c r="U84" s="52"/>
      <c r="V84" s="52"/>
    </row>
    <row r="85" spans="2:22" ht="9.75">
      <c r="B85" s="5" t="s">
        <v>18</v>
      </c>
      <c r="C85" s="21">
        <f>('2002-03'!J5-'2002-03'!C5)/'2002-03'!C5</f>
        <v>0.20296167247386757</v>
      </c>
      <c r="D85" s="21">
        <f>('2002-03'!K5-'2002-03'!D5)/'2002-03'!D5</f>
        <v>0.23827629911280096</v>
      </c>
      <c r="E85" s="21">
        <f>('2002-03'!L5-'2002-03'!E5)/'2002-03'!E5</f>
        <v>0.25114854517611035</v>
      </c>
      <c r="F85" s="21">
        <f>('2002-03'!M5-'2002-03'!F5)/'2002-03'!F5</f>
        <v>0.26512455516014216</v>
      </c>
      <c r="H85" s="5" t="s">
        <v>18</v>
      </c>
      <c r="I85" s="20">
        <v>875</v>
      </c>
      <c r="J85" s="20">
        <v>442</v>
      </c>
      <c r="K85" s="20">
        <v>560</v>
      </c>
      <c r="L85" s="20">
        <v>11</v>
      </c>
      <c r="N85" s="27">
        <f>I85*'2002-03'!C5</f>
        <v>100450</v>
      </c>
      <c r="O85" s="27">
        <f>J85*'2002-03'!D5</f>
        <v>34873.8</v>
      </c>
      <c r="P85" s="27">
        <f>K85*'2002-03'!E5</f>
        <v>36568</v>
      </c>
      <c r="Q85" s="27">
        <f>L85*'2002-03'!F5</f>
        <v>618.2</v>
      </c>
      <c r="R85" s="27"/>
      <c r="S85" s="27">
        <f>I85*'2002-03'!J5</f>
        <v>120837.5</v>
      </c>
      <c r="T85" s="27">
        <f>J85*'2002-03'!K5</f>
        <v>43183.4</v>
      </c>
      <c r="U85" s="27">
        <f>K85*'2002-03'!L5</f>
        <v>45752</v>
      </c>
      <c r="V85" s="27">
        <f>L85*'2002-03'!M5</f>
        <v>782.0999999999999</v>
      </c>
    </row>
    <row r="86" spans="2:22" ht="9.75">
      <c r="B86" s="5" t="s">
        <v>51</v>
      </c>
      <c r="C86" s="21">
        <f>('2002-03'!J6-'2002-03'!C6)/'2002-03'!C6</f>
        <v>0.3339587242026266</v>
      </c>
      <c r="D86" s="21">
        <f>('2002-03'!K6-'2002-03'!D6)/'2002-03'!D6</f>
        <v>0.3617647058823529</v>
      </c>
      <c r="E86" s="21">
        <f>('2002-03'!L6-'2002-03'!E6)/'2002-03'!E6</f>
        <v>0.37435008665511255</v>
      </c>
      <c r="F86" s="21" t="s">
        <v>52</v>
      </c>
      <c r="H86" s="5" t="s">
        <v>51</v>
      </c>
      <c r="I86" s="20">
        <v>462</v>
      </c>
      <c r="J86" s="20">
        <v>159</v>
      </c>
      <c r="K86" s="20">
        <v>144</v>
      </c>
      <c r="L86" s="20">
        <v>0</v>
      </c>
      <c r="N86" s="27">
        <f>I86*'2002-03'!C6</f>
        <v>49249.2</v>
      </c>
      <c r="O86" s="27">
        <f>J86*'2002-03'!D6</f>
        <v>10812</v>
      </c>
      <c r="P86" s="27">
        <f>K86*'2002-03'!E6</f>
        <v>8308.800000000001</v>
      </c>
      <c r="Q86" s="27">
        <v>0</v>
      </c>
      <c r="R86" s="27"/>
      <c r="S86" s="27">
        <f>I86*'2002-03'!J6</f>
        <v>65696.4</v>
      </c>
      <c r="T86" s="27">
        <f>J86*'2002-03'!K6</f>
        <v>14723.4</v>
      </c>
      <c r="U86" s="27">
        <f>K86*'2002-03'!L6</f>
        <v>11419.199999999999</v>
      </c>
      <c r="V86" s="27">
        <v>0</v>
      </c>
    </row>
    <row r="87" spans="2:22" ht="9.75">
      <c r="B87" s="5" t="s">
        <v>19</v>
      </c>
      <c r="C87" s="21">
        <f>('2002-03'!J7-'2002-03'!C7)/'2002-03'!C7</f>
        <v>0.20798514391829145</v>
      </c>
      <c r="D87" s="21">
        <f>('2002-03'!K7-'2002-03'!D7)/'2002-03'!D7</f>
        <v>0.23842917251051896</v>
      </c>
      <c r="E87" s="21">
        <f>('2002-03'!L7-'2002-03'!E7)/'2002-03'!E7</f>
        <v>0.24041811846689903</v>
      </c>
      <c r="F87" s="21">
        <f>('2002-03'!M7-'2002-03'!F7)/'2002-03'!F7</f>
        <v>0.20852017937219725</v>
      </c>
      <c r="H87" s="5" t="s">
        <v>19</v>
      </c>
      <c r="I87" s="20">
        <v>492</v>
      </c>
      <c r="J87" s="20">
        <v>271</v>
      </c>
      <c r="K87" s="20">
        <v>212</v>
      </c>
      <c r="L87" s="20">
        <v>10</v>
      </c>
      <c r="N87" s="27">
        <f>I87*'2002-03'!C7</f>
        <v>52988.4</v>
      </c>
      <c r="O87" s="27">
        <f>J87*'2002-03'!D7</f>
        <v>19322.3</v>
      </c>
      <c r="P87" s="27">
        <f>K87*'2002-03'!E7</f>
        <v>12168.8</v>
      </c>
      <c r="Q87" s="27">
        <f>L87*'2002-03'!F7</f>
        <v>446</v>
      </c>
      <c r="R87" s="27"/>
      <c r="S87" s="27">
        <f>I87*'2002-03'!J7</f>
        <v>64009.2</v>
      </c>
      <c r="T87" s="27">
        <f>J87*'2002-03'!K7</f>
        <v>23929.3</v>
      </c>
      <c r="U87" s="27">
        <f>K87*'2002-03'!L7</f>
        <v>15094.400000000001</v>
      </c>
      <c r="V87" s="27">
        <f>L87*'2002-03'!M7</f>
        <v>539</v>
      </c>
    </row>
    <row r="88" spans="2:22" ht="9.75">
      <c r="B88" s="5" t="s">
        <v>20</v>
      </c>
      <c r="C88" s="21">
        <f>('2002-03'!J8-'2002-03'!C8)/'2002-03'!C8</f>
        <v>0.23742454728370213</v>
      </c>
      <c r="D88" s="21">
        <f>('2002-03'!K8-'2002-03'!D8)/'2002-03'!D8</f>
        <v>0.27659574468085113</v>
      </c>
      <c r="E88" s="21">
        <f>('2002-03'!L8-'2002-03'!E8)/'2002-03'!E8</f>
        <v>0.2866779089376054</v>
      </c>
      <c r="F88" s="21" t="s">
        <v>52</v>
      </c>
      <c r="H88" s="5" t="s">
        <v>20</v>
      </c>
      <c r="I88" s="20">
        <v>518</v>
      </c>
      <c r="J88" s="20">
        <v>337</v>
      </c>
      <c r="K88" s="20">
        <v>255</v>
      </c>
      <c r="L88" s="20">
        <v>0</v>
      </c>
      <c r="N88" s="27">
        <f>I88*'2002-03'!C8</f>
        <v>51489.200000000004</v>
      </c>
      <c r="O88" s="27">
        <f>J88*'2002-03'!D8</f>
        <v>22174.6</v>
      </c>
      <c r="P88" s="27">
        <f>K88*'2002-03'!E8</f>
        <v>15121.5</v>
      </c>
      <c r="Q88" s="27">
        <v>0</v>
      </c>
      <c r="R88" s="27"/>
      <c r="S88" s="27">
        <f>I88*'2002-03'!J8</f>
        <v>63714</v>
      </c>
      <c r="T88" s="27">
        <f>J88*'2002-03'!K8</f>
        <v>28308</v>
      </c>
      <c r="U88" s="27">
        <f>K88*'2002-03'!L8</f>
        <v>19456.5</v>
      </c>
      <c r="V88" s="27">
        <v>0</v>
      </c>
    </row>
    <row r="89" spans="2:22" ht="9.75">
      <c r="B89" s="5" t="s">
        <v>21</v>
      </c>
      <c r="C89" s="21">
        <f>('2002-03'!J9-'2002-03'!C9)/'2002-03'!C9</f>
        <v>0.1758555133079848</v>
      </c>
      <c r="D89" s="21">
        <f>('2002-03'!K9-'2002-03'!D9)/'2002-03'!D9</f>
        <v>0.20435967302452315</v>
      </c>
      <c r="E89" s="21">
        <f>('2002-03'!L9-'2002-03'!E9)/'2002-03'!E9</f>
        <v>0.21859706362153355</v>
      </c>
      <c r="F89" s="21">
        <f>('2002-03'!M9-'2002-03'!F9)/'2002-03'!F9</f>
        <v>0.20239880059970014</v>
      </c>
      <c r="H89" s="5" t="s">
        <v>21</v>
      </c>
      <c r="I89" s="20">
        <v>566</v>
      </c>
      <c r="J89" s="20">
        <v>353</v>
      </c>
      <c r="K89" s="20">
        <v>232</v>
      </c>
      <c r="L89" s="20">
        <v>9</v>
      </c>
      <c r="N89" s="27">
        <f>I89*'2002-03'!C9</f>
        <v>59543.200000000004</v>
      </c>
      <c r="O89" s="27">
        <f>J89*'2002-03'!D9</f>
        <v>25910.2</v>
      </c>
      <c r="P89" s="27">
        <f>K89*'2002-03'!E9</f>
        <v>14221.599999999999</v>
      </c>
      <c r="Q89" s="27">
        <f>L89*'2002-03'!F9</f>
        <v>600.3000000000001</v>
      </c>
      <c r="R89" s="27"/>
      <c r="S89" s="27">
        <f>I89*'2002-03'!J9</f>
        <v>70014.2</v>
      </c>
      <c r="T89" s="27">
        <f>J89*'2002-03'!K9</f>
        <v>31205.2</v>
      </c>
      <c r="U89" s="27">
        <f>K89*'2002-03'!L9</f>
        <v>17330.4</v>
      </c>
      <c r="V89" s="27">
        <f>L89*'2002-03'!M9</f>
        <v>721.8000000000001</v>
      </c>
    </row>
    <row r="90" spans="2:22" ht="9.75">
      <c r="B90" s="5" t="s">
        <v>22</v>
      </c>
      <c r="C90" s="21">
        <f>('2002-03'!J10-'2002-03'!C10)/'2002-03'!C10</f>
        <v>0.271694214876033</v>
      </c>
      <c r="D90" s="21">
        <f>('2002-03'!K10-'2002-03'!D10)/'2002-03'!D10</f>
        <v>0.29305135951661615</v>
      </c>
      <c r="E90" s="21">
        <f>('2002-03'!L10-'2002-03'!E10)/'2002-03'!E10</f>
        <v>0.26870748299319724</v>
      </c>
      <c r="F90" s="21" t="s">
        <v>52</v>
      </c>
      <c r="H90" s="5" t="s">
        <v>22</v>
      </c>
      <c r="I90" s="20">
        <v>637</v>
      </c>
      <c r="J90" s="20">
        <v>358</v>
      </c>
      <c r="K90" s="20">
        <v>248</v>
      </c>
      <c r="L90" s="20">
        <v>0</v>
      </c>
      <c r="N90" s="27">
        <f>I90*'2002-03'!C10</f>
        <v>61661.6</v>
      </c>
      <c r="O90" s="27">
        <f>J90*'2002-03'!D10</f>
        <v>23699.600000000002</v>
      </c>
      <c r="P90" s="27">
        <f>K90*'2002-03'!E10</f>
        <v>14582.4</v>
      </c>
      <c r="Q90" s="27">
        <v>0</v>
      </c>
      <c r="R90" s="27"/>
      <c r="S90" s="27">
        <f>I90*'2002-03'!J10</f>
        <v>78414.7</v>
      </c>
      <c r="T90" s="27">
        <f>J90*'2002-03'!K10</f>
        <v>30644.8</v>
      </c>
      <c r="U90" s="27">
        <f>K90*'2002-03'!L10</f>
        <v>18500.8</v>
      </c>
      <c r="V90" s="27">
        <v>0</v>
      </c>
    </row>
    <row r="91" spans="2:22" ht="9.75">
      <c r="B91" s="5" t="s">
        <v>23</v>
      </c>
      <c r="C91" s="21">
        <f>('2002-03'!J11-'2002-03'!C11)/'2002-03'!C11</f>
        <v>0.2037617554858934</v>
      </c>
      <c r="D91" s="21">
        <f>('2002-03'!K11-'2002-03'!D11)/'2002-03'!D11</f>
        <v>0.22063037249283676</v>
      </c>
      <c r="E91" s="21">
        <f>('2002-03'!L11-'2002-03'!E11)/'2002-03'!E11</f>
        <v>0.22704507512520872</v>
      </c>
      <c r="F91" s="21">
        <f>('2002-03'!M11-'2002-03'!F11)/'2002-03'!F11</f>
        <v>0.24439461883408067</v>
      </c>
      <c r="H91" s="5" t="s">
        <v>23</v>
      </c>
      <c r="I91" s="20">
        <v>433</v>
      </c>
      <c r="J91" s="20">
        <v>285</v>
      </c>
      <c r="K91" s="20">
        <v>256</v>
      </c>
      <c r="L91" s="20">
        <v>142</v>
      </c>
      <c r="N91" s="27">
        <f>I91*'2002-03'!C11</f>
        <v>41438.1</v>
      </c>
      <c r="O91" s="27">
        <f>J91*'2002-03'!D11</f>
        <v>19893</v>
      </c>
      <c r="P91" s="27">
        <f>K91*'2002-03'!E11</f>
        <v>15334.4</v>
      </c>
      <c r="Q91" s="27">
        <f>L91*'2002-03'!F11</f>
        <v>6333.2</v>
      </c>
      <c r="R91" s="27"/>
      <c r="S91" s="27">
        <f>I91*'2002-03'!J11</f>
        <v>49881.6</v>
      </c>
      <c r="T91" s="27">
        <f>J91*'2002-03'!K11</f>
        <v>24282</v>
      </c>
      <c r="U91" s="27">
        <f>K91*'2002-03'!L11</f>
        <v>18816</v>
      </c>
      <c r="V91" s="27">
        <f>L91*'2002-03'!M11</f>
        <v>7881</v>
      </c>
    </row>
    <row r="92" spans="2:22" ht="9.75">
      <c r="B92" s="5" t="s">
        <v>24</v>
      </c>
      <c r="C92" s="21">
        <f>('2002-03'!J12-'2002-03'!C12)/'2002-03'!C12</f>
        <v>0.22149122807017546</v>
      </c>
      <c r="D92" s="21">
        <f>('2002-03'!K12-'2002-03'!D12)/'2002-03'!D12</f>
        <v>0.23860182370820673</v>
      </c>
      <c r="E92" s="21">
        <f>('2002-03'!L12-'2002-03'!E12)/'2002-03'!E12</f>
        <v>0.20764119601328904</v>
      </c>
      <c r="F92" s="21">
        <f>('2002-03'!M12-'2002-03'!F12)/'2002-03'!F12</f>
        <v>0.24170616113744064</v>
      </c>
      <c r="H92" s="5" t="s">
        <v>24</v>
      </c>
      <c r="I92" s="20">
        <v>881</v>
      </c>
      <c r="J92" s="20">
        <v>440</v>
      </c>
      <c r="K92" s="20">
        <v>390</v>
      </c>
      <c r="L92" s="20">
        <v>17</v>
      </c>
      <c r="N92" s="27">
        <f>I92*'2002-03'!C12</f>
        <v>80347.2</v>
      </c>
      <c r="O92" s="27">
        <f>J92*'2002-03'!D12</f>
        <v>28952</v>
      </c>
      <c r="P92" s="27">
        <f>K92*'2002-03'!E12</f>
        <v>23478</v>
      </c>
      <c r="Q92" s="27">
        <f>L92*'2002-03'!F12</f>
        <v>717.4000000000001</v>
      </c>
      <c r="R92" s="27"/>
      <c r="S92" s="27">
        <f>I92*'2002-03'!J12</f>
        <v>98143.40000000001</v>
      </c>
      <c r="T92" s="27">
        <f>J92*'2002-03'!K12</f>
        <v>35860</v>
      </c>
      <c r="U92" s="27">
        <f>K92*'2002-03'!L12</f>
        <v>28353</v>
      </c>
      <c r="V92" s="27">
        <f>L92*'2002-03'!M12</f>
        <v>890.8</v>
      </c>
    </row>
    <row r="93" spans="2:22" ht="9.75">
      <c r="B93" s="5"/>
      <c r="N93" s="27"/>
      <c r="O93" s="27"/>
      <c r="P93" s="27"/>
      <c r="Q93" s="27"/>
      <c r="R93" s="27"/>
      <c r="S93" s="27"/>
      <c r="T93" s="27"/>
      <c r="U93" s="27"/>
      <c r="V93" s="27"/>
    </row>
    <row r="94" spans="2:22" ht="9.75">
      <c r="B94" s="5" t="s">
        <v>59</v>
      </c>
      <c r="C94" s="21">
        <f>('2002-03'!J14-'2002-03'!C14)/'2002-03'!C14</f>
        <v>0.2317103009542451</v>
      </c>
      <c r="D94" s="21">
        <f>('2002-03'!K14-'2002-03'!D14)/'2002-03'!D14</f>
        <v>0.25768955650929926</v>
      </c>
      <c r="E94" s="21">
        <f>('2002-03'!L14-'2002-03'!E14)/'2002-03'!E14</f>
        <v>0.25859554073765373</v>
      </c>
      <c r="F94" s="21">
        <f>('2002-03'!M14-'2002-03'!F14)/'2002-03'!F14</f>
        <v>0.231222965001966</v>
      </c>
      <c r="H94" s="22" t="s">
        <v>25</v>
      </c>
      <c r="I94" s="20">
        <f>SUM(I85:I92)</f>
        <v>4864</v>
      </c>
      <c r="J94" s="20">
        <f>SUM(J85:J92)</f>
        <v>2645</v>
      </c>
      <c r="K94" s="20">
        <f>SUM(K85:K92)</f>
        <v>2297</v>
      </c>
      <c r="L94" s="20">
        <f>SUM(L85:L92)</f>
        <v>189</v>
      </c>
      <c r="N94" s="27"/>
      <c r="O94" s="27"/>
      <c r="P94" s="27"/>
      <c r="Q94" s="27"/>
      <c r="R94" s="27"/>
      <c r="S94" s="27"/>
      <c r="T94" s="27"/>
      <c r="U94" s="27"/>
      <c r="V94" s="27"/>
    </row>
    <row r="95" spans="2:22" ht="9.75">
      <c r="B95" s="5"/>
      <c r="I95" s="20"/>
      <c r="J95" s="20"/>
      <c r="K95" s="20"/>
      <c r="L95" s="20"/>
      <c r="N95" s="27"/>
      <c r="O95" s="27"/>
      <c r="P95" s="27"/>
      <c r="Q95" s="27"/>
      <c r="R95" s="27"/>
      <c r="S95" s="27"/>
      <c r="T95" s="27"/>
      <c r="U95" s="27"/>
      <c r="V95" s="27"/>
    </row>
    <row r="96" spans="2:22" ht="9.75">
      <c r="B96" s="5" t="s">
        <v>26</v>
      </c>
      <c r="C96" s="21">
        <f>('2002-03'!J17-'2002-03'!C17)/'2002-03'!C17</f>
        <v>0.2976338729763388</v>
      </c>
      <c r="D96" s="21">
        <f>('2002-03'!K17-'2002-03'!D17)/'2002-03'!D17</f>
        <v>0.3310463121783876</v>
      </c>
      <c r="E96" s="21">
        <f>('2002-03'!L17-'2002-03'!E17)/'2002-03'!E17</f>
        <v>0.35400000000000004</v>
      </c>
      <c r="F96" s="21">
        <f>('2002-03'!M17-'2002-03'!F17)/'2002-03'!F17</f>
        <v>0.4297752808988763</v>
      </c>
      <c r="H96" s="5" t="s">
        <v>26</v>
      </c>
      <c r="I96" s="20">
        <v>220</v>
      </c>
      <c r="J96" s="20">
        <v>205</v>
      </c>
      <c r="K96" s="20">
        <v>176</v>
      </c>
      <c r="L96" s="20">
        <v>90</v>
      </c>
      <c r="N96" s="27">
        <f>SUM(N85:N95)</f>
        <v>497166.89999999997</v>
      </c>
      <c r="O96" s="27">
        <f>SUM(O85:O95)</f>
        <v>185637.5</v>
      </c>
      <c r="P96" s="27">
        <f>SUM(P85:P95)</f>
        <v>139783.5</v>
      </c>
      <c r="Q96" s="27">
        <f>SUM(Q85:Q95)</f>
        <v>8715.1</v>
      </c>
      <c r="R96" s="27"/>
      <c r="S96" s="27">
        <f>SUM(S85:S95)</f>
        <v>610711</v>
      </c>
      <c r="T96" s="27">
        <f>SUM(T85:T95)</f>
        <v>232136.1</v>
      </c>
      <c r="U96" s="27">
        <f>SUM(U85:U95)</f>
        <v>174722.3</v>
      </c>
      <c r="V96" s="27">
        <f>SUM(V85:V95)</f>
        <v>10814.699999999999</v>
      </c>
    </row>
    <row r="97" spans="14:22" ht="9.75">
      <c r="N97" s="27"/>
      <c r="O97" s="27"/>
      <c r="P97" s="27"/>
      <c r="Q97" s="27"/>
      <c r="R97" s="27"/>
      <c r="S97" s="27"/>
      <c r="T97" s="27"/>
      <c r="U97" s="27"/>
      <c r="V97" s="27"/>
    </row>
    <row r="98" spans="2:22" ht="10.5" thickBot="1">
      <c r="B98" s="50" t="s">
        <v>4</v>
      </c>
      <c r="C98" s="50"/>
      <c r="D98" s="50"/>
      <c r="E98" s="50"/>
      <c r="F98" s="50"/>
      <c r="G98" s="50"/>
      <c r="H98" s="50"/>
      <c r="I98" s="50"/>
      <c r="J98" s="50"/>
      <c r="K98" s="50"/>
      <c r="L98" s="50"/>
      <c r="M98" s="12"/>
      <c r="N98" s="28"/>
      <c r="O98" s="28"/>
      <c r="P98" s="28"/>
      <c r="Q98" s="28"/>
      <c r="R98" s="28"/>
      <c r="S98" s="28"/>
      <c r="T98" s="28"/>
      <c r="U98" s="28"/>
      <c r="V98" s="28"/>
    </row>
    <row r="99" spans="2:22" ht="9.75">
      <c r="B99" s="51" t="s">
        <v>11</v>
      </c>
      <c r="C99" s="51" t="s">
        <v>12</v>
      </c>
      <c r="D99" s="51"/>
      <c r="E99" s="51"/>
      <c r="F99" s="51"/>
      <c r="H99" s="51" t="s">
        <v>11</v>
      </c>
      <c r="I99" s="51" t="s">
        <v>13</v>
      </c>
      <c r="J99" s="51"/>
      <c r="K99" s="51"/>
      <c r="L99" s="51"/>
      <c r="N99" s="27"/>
      <c r="O99" s="27"/>
      <c r="P99" s="27"/>
      <c r="Q99" s="27"/>
      <c r="R99" s="27"/>
      <c r="S99" s="27"/>
      <c r="T99" s="27"/>
      <c r="U99" s="27"/>
      <c r="V99" s="27"/>
    </row>
    <row r="100" spans="2:22" ht="9.75">
      <c r="B100" s="51"/>
      <c r="C100" s="8" t="s">
        <v>44</v>
      </c>
      <c r="D100" s="8" t="s">
        <v>14</v>
      </c>
      <c r="E100" s="8" t="s">
        <v>15</v>
      </c>
      <c r="F100" s="8" t="s">
        <v>16</v>
      </c>
      <c r="H100" s="51"/>
      <c r="I100" s="8" t="s">
        <v>44</v>
      </c>
      <c r="J100" s="8" t="s">
        <v>14</v>
      </c>
      <c r="K100" s="8" t="s">
        <v>15</v>
      </c>
      <c r="L100" s="8" t="s">
        <v>16</v>
      </c>
      <c r="N100" s="52" t="s">
        <v>17</v>
      </c>
      <c r="O100" s="52"/>
      <c r="P100" s="52"/>
      <c r="Q100" s="52"/>
      <c r="R100" s="52"/>
      <c r="S100" s="52"/>
      <c r="T100" s="52"/>
      <c r="U100" s="52"/>
      <c r="V100" s="52"/>
    </row>
    <row r="101" spans="2:22" ht="9.75">
      <c r="B101" s="5" t="s">
        <v>18</v>
      </c>
      <c r="C101" s="21">
        <f>('2001-02'!J5-'2001-02'!C5)/'2001-02'!C5</f>
        <v>0.22405876951331502</v>
      </c>
      <c r="D101" s="21">
        <f>('2001-02'!K5-'2001-02'!D5)/'2001-02'!D5</f>
        <v>0.2660550458715596</v>
      </c>
      <c r="E101" s="21">
        <f>('2001-02'!L5-'2001-02'!E5)/'2001-02'!E5</f>
        <v>0.2901134521880063</v>
      </c>
      <c r="F101" s="21">
        <f>('2001-02'!M5-'2001-02'!F5)/'2001-02'!F5</f>
        <v>0.30258302583025815</v>
      </c>
      <c r="H101" s="5" t="s">
        <v>18</v>
      </c>
      <c r="I101" s="20">
        <v>882</v>
      </c>
      <c r="J101" s="20">
        <v>434</v>
      </c>
      <c r="K101" s="20">
        <v>557</v>
      </c>
      <c r="L101" s="20">
        <v>11</v>
      </c>
      <c r="N101" s="27">
        <f>I101*'2001-02'!C5</f>
        <v>96049.8</v>
      </c>
      <c r="O101" s="27">
        <f>J101*'2001-02'!D5</f>
        <v>33114.2</v>
      </c>
      <c r="P101" s="27">
        <f>K101*'2001-02'!E5</f>
        <v>34366.9</v>
      </c>
      <c r="Q101" s="27">
        <f>L101*'2001-02'!F5</f>
        <v>596.2</v>
      </c>
      <c r="R101" s="27"/>
      <c r="S101" s="27">
        <f>I101*'2001-02'!J5</f>
        <v>117570.6</v>
      </c>
      <c r="T101" s="27">
        <f>J101*'2001-02'!K5</f>
        <v>41924.399999999994</v>
      </c>
      <c r="U101" s="27">
        <f>K101*'2001-02'!L5</f>
        <v>44337.2</v>
      </c>
      <c r="V101" s="27">
        <f>L101*'2001-02'!M5</f>
        <v>776.5999999999999</v>
      </c>
    </row>
    <row r="102" spans="2:22" ht="9.75">
      <c r="B102" s="5" t="s">
        <v>51</v>
      </c>
      <c r="C102" s="21">
        <f>('2001-02'!J6-'2001-02'!C6)/'2001-02'!C6</f>
        <v>0.28693994280266916</v>
      </c>
      <c r="D102" s="21">
        <f>('2001-02'!K6-'2001-02'!D6)/'2001-02'!D6</f>
        <v>0.28702290076335873</v>
      </c>
      <c r="E102" s="21">
        <f>('2001-02'!L6-'2001-02'!E6)/'2001-02'!E6</f>
        <v>0.2864583333333332</v>
      </c>
      <c r="F102" s="21" t="s">
        <v>52</v>
      </c>
      <c r="H102" s="5" t="s">
        <v>51</v>
      </c>
      <c r="I102" s="20">
        <v>447</v>
      </c>
      <c r="J102" s="20">
        <v>161</v>
      </c>
      <c r="K102" s="20">
        <v>119</v>
      </c>
      <c r="L102" s="20">
        <v>0</v>
      </c>
      <c r="N102" s="27">
        <f>I102*'2001-02'!C6</f>
        <v>46890.3</v>
      </c>
      <c r="O102" s="27">
        <f>J102*'2001-02'!D6</f>
        <v>10545.5</v>
      </c>
      <c r="P102" s="27">
        <f>K102*'2001-02'!E6</f>
        <v>6854.400000000001</v>
      </c>
      <c r="Q102" s="27">
        <v>0</v>
      </c>
      <c r="R102" s="27"/>
      <c r="S102" s="27">
        <f>I102*'2001-02'!J6</f>
        <v>60345</v>
      </c>
      <c r="T102" s="27">
        <f>J102*'2001-02'!K6</f>
        <v>13572.3</v>
      </c>
      <c r="U102" s="27">
        <f>K102*'2001-02'!L6</f>
        <v>8817.9</v>
      </c>
      <c r="V102" s="27">
        <v>0</v>
      </c>
    </row>
    <row r="103" spans="2:22" ht="9.75">
      <c r="B103" s="5" t="s">
        <v>19</v>
      </c>
      <c r="C103" s="21">
        <f>('2001-02'!J7-'2001-02'!C7)/'2001-02'!C7</f>
        <v>0.2081784386617101</v>
      </c>
      <c r="D103" s="21">
        <f>('2001-02'!K7-'2001-02'!D7)/'2001-02'!D7</f>
        <v>0.24016853932584262</v>
      </c>
      <c r="E103" s="21">
        <f>('2001-02'!L7-'2001-02'!E7)/'2001-02'!E7</f>
        <v>0.23767605633802819</v>
      </c>
      <c r="F103" s="21">
        <f>('2001-02'!M7-'2001-02'!F7)/'2001-02'!F7</f>
        <v>0.24657534246575355</v>
      </c>
      <c r="H103" s="5" t="s">
        <v>19</v>
      </c>
      <c r="I103" s="20">
        <v>486</v>
      </c>
      <c r="J103" s="20">
        <v>258</v>
      </c>
      <c r="K103" s="20">
        <v>214</v>
      </c>
      <c r="L103" s="20">
        <v>18</v>
      </c>
      <c r="N103" s="27">
        <f>I103*'2001-02'!C7</f>
        <v>52293.6</v>
      </c>
      <c r="O103" s="27">
        <f>J103*'2001-02'!D7</f>
        <v>18369.600000000002</v>
      </c>
      <c r="P103" s="27">
        <f>K103*'2001-02'!E7</f>
        <v>12155.199999999999</v>
      </c>
      <c r="Q103" s="27">
        <f>L103*'2001-02'!F7</f>
        <v>788.4</v>
      </c>
      <c r="R103" s="27"/>
      <c r="S103" s="27">
        <f>I103*'2001-02'!J7</f>
        <v>63180</v>
      </c>
      <c r="T103" s="27">
        <f>J103*'2001-02'!K7</f>
        <v>22781.399999999998</v>
      </c>
      <c r="U103" s="27">
        <f>K103*'2001-02'!L7</f>
        <v>15044.199999999999</v>
      </c>
      <c r="V103" s="27">
        <f>L103*'2001-02'!M7</f>
        <v>982.8000000000001</v>
      </c>
    </row>
    <row r="104" spans="2:22" ht="9.75">
      <c r="B104" s="5" t="s">
        <v>20</v>
      </c>
      <c r="C104" s="21">
        <f>('2001-02'!J8-'2001-02'!C8)/'2001-02'!C8</f>
        <v>0.23583934088568492</v>
      </c>
      <c r="D104" s="21">
        <f>('2001-02'!K8-'2001-02'!D8)/'2001-02'!D8</f>
        <v>0.2731554160125587</v>
      </c>
      <c r="E104" s="21">
        <f>('2001-02'!L8-'2001-02'!E8)/'2001-02'!E8</f>
        <v>0.2852049910873439</v>
      </c>
      <c r="F104" s="21" t="s">
        <v>52</v>
      </c>
      <c r="H104" s="5" t="s">
        <v>20</v>
      </c>
      <c r="I104" s="20">
        <v>536</v>
      </c>
      <c r="J104" s="20">
        <v>367</v>
      </c>
      <c r="K104" s="20">
        <v>282</v>
      </c>
      <c r="L104" s="20">
        <v>0</v>
      </c>
      <c r="N104" s="27">
        <f>I104*'2001-02'!C8</f>
        <v>52045.6</v>
      </c>
      <c r="O104" s="27">
        <f>J104*'2001-02'!D8</f>
        <v>23377.9</v>
      </c>
      <c r="P104" s="27">
        <f>K104*'2001-02'!E8</f>
        <v>15820.2</v>
      </c>
      <c r="Q104" s="27">
        <v>0</v>
      </c>
      <c r="R104" s="27"/>
      <c r="S104" s="27">
        <f>I104*'2001-02'!J8</f>
        <v>64320</v>
      </c>
      <c r="T104" s="27">
        <f>J104*'2001-02'!K8</f>
        <v>29763.699999999997</v>
      </c>
      <c r="U104" s="27">
        <f>K104*'2001-02'!L8</f>
        <v>20332.199999999997</v>
      </c>
      <c r="V104" s="27">
        <v>0</v>
      </c>
    </row>
    <row r="105" spans="2:22" ht="9.75">
      <c r="B105" s="5" t="s">
        <v>21</v>
      </c>
      <c r="C105" s="21">
        <f>('2001-02'!J9-'2001-02'!C9)/'2001-02'!C9</f>
        <v>0.1779497098646034</v>
      </c>
      <c r="D105" s="21">
        <f>('2001-02'!K9-'2001-02'!D9)/'2001-02'!D9</f>
        <v>0.2049861495844875</v>
      </c>
      <c r="E105" s="21">
        <f>('2001-02'!L9-'2001-02'!E9)/'2001-02'!E9</f>
        <v>0.21724709784411292</v>
      </c>
      <c r="F105" s="21">
        <f>('2001-02'!M9-'2001-02'!F9)/'2001-02'!F9</f>
        <v>0.18314424635332247</v>
      </c>
      <c r="H105" s="5" t="s">
        <v>21</v>
      </c>
      <c r="I105" s="20">
        <v>517</v>
      </c>
      <c r="J105" s="20">
        <v>258</v>
      </c>
      <c r="K105" s="20">
        <v>216</v>
      </c>
      <c r="L105" s="20">
        <v>10</v>
      </c>
      <c r="N105" s="27">
        <f>I105*'2001-02'!C9</f>
        <v>53457.8</v>
      </c>
      <c r="O105" s="27">
        <f>J105*'2001-02'!D9</f>
        <v>18627.600000000002</v>
      </c>
      <c r="P105" s="27">
        <f>K105*'2001-02'!E9</f>
        <v>13024.8</v>
      </c>
      <c r="Q105" s="27">
        <f>L105*'2001-02'!F9</f>
        <v>617</v>
      </c>
      <c r="R105" s="27"/>
      <c r="S105" s="27">
        <f>I105*'2001-02'!J9</f>
        <v>62970.6</v>
      </c>
      <c r="T105" s="27">
        <f>J105*'2001-02'!K9</f>
        <v>22446</v>
      </c>
      <c r="U105" s="27">
        <f>K105*'2001-02'!L9</f>
        <v>15854.400000000001</v>
      </c>
      <c r="V105" s="27">
        <f>L105*'2001-02'!M9</f>
        <v>730</v>
      </c>
    </row>
    <row r="106" spans="2:22" ht="9.75">
      <c r="B106" s="5" t="s">
        <v>22</v>
      </c>
      <c r="C106" s="21">
        <f>('2001-02'!J10-'2001-02'!C10)/'2001-02'!C10</f>
        <v>0.25371549893842876</v>
      </c>
      <c r="D106" s="21">
        <f>('2001-02'!K10-'2001-02'!D10)/'2001-02'!D10</f>
        <v>0.27656250000000004</v>
      </c>
      <c r="E106" s="21">
        <f>('2001-02'!L10-'2001-02'!E10)/'2001-02'!E10</f>
        <v>0.25497287522603995</v>
      </c>
      <c r="F106" s="21" t="s">
        <v>52</v>
      </c>
      <c r="H106" s="5" t="s">
        <v>22</v>
      </c>
      <c r="I106" s="20">
        <v>614</v>
      </c>
      <c r="J106" s="20">
        <v>360</v>
      </c>
      <c r="K106" s="20">
        <v>233</v>
      </c>
      <c r="L106" s="20">
        <v>1</v>
      </c>
      <c r="N106" s="27">
        <f>I106*'2001-02'!C10</f>
        <v>57838.8</v>
      </c>
      <c r="O106" s="27">
        <f>J106*'2001-02'!D10</f>
        <v>23040</v>
      </c>
      <c r="P106" s="27">
        <f>K106*'2001-02'!E10</f>
        <v>12884.9</v>
      </c>
      <c r="Q106" s="27">
        <v>0</v>
      </c>
      <c r="R106" s="27"/>
      <c r="S106" s="27">
        <f>I106*'2001-02'!J10</f>
        <v>72513.4</v>
      </c>
      <c r="T106" s="27">
        <f>J106*'2001-02'!K10</f>
        <v>29412</v>
      </c>
      <c r="U106" s="27">
        <f>K106*'2001-02'!L10</f>
        <v>16170.2</v>
      </c>
      <c r="V106" s="27">
        <v>0</v>
      </c>
    </row>
    <row r="107" spans="2:22" ht="9.75">
      <c r="B107" s="5" t="s">
        <v>23</v>
      </c>
      <c r="C107" s="21">
        <f>('2001-02'!J11-'2001-02'!C11)/'2001-02'!C11</f>
        <v>0.19063545150501665</v>
      </c>
      <c r="D107" s="21">
        <f>('2001-02'!K11-'2001-02'!D11)/'2001-02'!D11</f>
        <v>0.20948012232415883</v>
      </c>
      <c r="E107" s="21">
        <f>('2001-02'!L11-'2001-02'!E11)/'2001-02'!E11</f>
        <v>0.21518987341772164</v>
      </c>
      <c r="F107" s="21">
        <f>('2001-02'!M11-'2001-02'!F11)/'2001-02'!F11</f>
        <v>0.2329411764705882</v>
      </c>
      <c r="H107" s="5" t="s">
        <v>23</v>
      </c>
      <c r="I107" s="20">
        <v>425</v>
      </c>
      <c r="J107" s="20">
        <v>276</v>
      </c>
      <c r="K107" s="20">
        <v>239</v>
      </c>
      <c r="L107" s="20">
        <v>136</v>
      </c>
      <c r="N107" s="27">
        <f>I107*'2001-02'!C11</f>
        <v>38122.5</v>
      </c>
      <c r="O107" s="27">
        <f>J107*'2001-02'!D11</f>
        <v>18050.4</v>
      </c>
      <c r="P107" s="27">
        <f>K107*'2001-02'!E11</f>
        <v>13216.699999999999</v>
      </c>
      <c r="Q107" s="27">
        <f>L107*'2001-02'!F11</f>
        <v>5780</v>
      </c>
      <c r="R107" s="27"/>
      <c r="S107" s="27">
        <f>I107*'2001-02'!J11</f>
        <v>45390</v>
      </c>
      <c r="T107" s="27">
        <f>J107*'2001-02'!K11</f>
        <v>21831.6</v>
      </c>
      <c r="U107" s="27">
        <f>K107*'2001-02'!L11</f>
        <v>16060.800000000001</v>
      </c>
      <c r="V107" s="27">
        <f>L107*'2001-02'!M11</f>
        <v>7126.4</v>
      </c>
    </row>
    <row r="108" spans="2:22" ht="9.75">
      <c r="B108" s="5" t="s">
        <v>24</v>
      </c>
      <c r="C108" s="21">
        <f>('2001-02'!J12-'2001-02'!C12)/'2001-02'!C12</f>
        <v>0.21753607103218656</v>
      </c>
      <c r="D108" s="21">
        <f>('2001-02'!K12-'2001-02'!D12)/'2001-02'!D12</f>
        <v>0.2944000000000001</v>
      </c>
      <c r="E108" s="21">
        <f>('2001-02'!L12-'2001-02'!E12)/'2001-02'!E12</f>
        <v>0.20926243567753008</v>
      </c>
      <c r="F108" s="21">
        <f>('2001-02'!M12-'2001-02'!F12)/'2001-02'!F12</f>
        <v>0.24228028503562934</v>
      </c>
      <c r="H108" s="5" t="s">
        <v>24</v>
      </c>
      <c r="I108" s="20">
        <v>875</v>
      </c>
      <c r="J108" s="20">
        <v>417</v>
      </c>
      <c r="K108" s="20">
        <v>377</v>
      </c>
      <c r="L108" s="20">
        <v>15</v>
      </c>
      <c r="N108" s="27">
        <f>I108*'2001-02'!C12</f>
        <v>78837.5</v>
      </c>
      <c r="O108" s="27">
        <f>J108*'2001-02'!D12</f>
        <v>26062.5</v>
      </c>
      <c r="P108" s="27">
        <f>K108*'2001-02'!E12</f>
        <v>21979.1</v>
      </c>
      <c r="Q108" s="27">
        <f>L108*'2001-02'!F12</f>
        <v>631.5</v>
      </c>
      <c r="R108" s="27"/>
      <c r="S108" s="27">
        <f>I108*'2001-02'!J12</f>
        <v>95987.5</v>
      </c>
      <c r="T108" s="27">
        <f>J108*'2001-02'!K12</f>
        <v>33735.3</v>
      </c>
      <c r="U108" s="27">
        <f>K108*'2001-02'!L12</f>
        <v>26578.5</v>
      </c>
      <c r="V108" s="27">
        <f>L108*'2001-02'!M12</f>
        <v>784.5</v>
      </c>
    </row>
    <row r="109" spans="2:22" ht="9.75">
      <c r="B109" s="5"/>
      <c r="I109" s="20"/>
      <c r="J109" s="20"/>
      <c r="K109" s="20"/>
      <c r="L109" s="20"/>
      <c r="N109" s="27"/>
      <c r="O109" s="27"/>
      <c r="P109" s="27"/>
      <c r="Q109" s="27"/>
      <c r="R109" s="27"/>
      <c r="S109" s="27"/>
      <c r="T109" s="27"/>
      <c r="U109" s="27"/>
      <c r="V109" s="27"/>
    </row>
    <row r="110" spans="2:22" ht="9.75">
      <c r="B110" s="5" t="s">
        <v>59</v>
      </c>
      <c r="C110" s="21">
        <f>('2001-02'!J14-'2001-02'!C14)/'2001-02'!C14</f>
        <v>0.22465133810780227</v>
      </c>
      <c r="D110" s="21">
        <f>('2001-02'!K14-'2001-02'!D14)/'2001-02'!D14</f>
        <v>0.25554733727810663</v>
      </c>
      <c r="E110" s="21">
        <f>('2001-02'!L14-'2001-02'!E14)/'2001-02'!E14</f>
        <v>0.24967490247074092</v>
      </c>
      <c r="F110" s="21">
        <f>('2001-02'!M14-'2001-02'!F14)/'2001-02'!F14</f>
        <v>0.23986901350798198</v>
      </c>
      <c r="H110" s="5" t="s">
        <v>25</v>
      </c>
      <c r="I110" s="20">
        <f>SUM(I101:I109)</f>
        <v>4782</v>
      </c>
      <c r="J110" s="20">
        <f>SUM(J101:J109)</f>
        <v>2531</v>
      </c>
      <c r="K110" s="20">
        <f>SUM(K101:K109)</f>
        <v>2237</v>
      </c>
      <c r="L110" s="20">
        <f>SUM(L101:L109)</f>
        <v>191</v>
      </c>
      <c r="N110" s="27"/>
      <c r="O110" s="27"/>
      <c r="P110" s="27"/>
      <c r="Q110" s="27"/>
      <c r="R110" s="27"/>
      <c r="S110" s="27"/>
      <c r="T110" s="27"/>
      <c r="U110" s="27"/>
      <c r="V110" s="27"/>
    </row>
    <row r="111" spans="2:22" ht="9.75">
      <c r="B111" s="5"/>
      <c r="I111" s="20"/>
      <c r="J111" s="20"/>
      <c r="K111" s="20"/>
      <c r="L111" s="20"/>
      <c r="N111" s="27"/>
      <c r="O111" s="27"/>
      <c r="P111" s="27"/>
      <c r="Q111" s="27"/>
      <c r="R111" s="27"/>
      <c r="S111" s="27"/>
      <c r="T111" s="27"/>
      <c r="U111" s="27"/>
      <c r="V111" s="27"/>
    </row>
    <row r="112" spans="2:22" ht="9.75">
      <c r="B112" s="5" t="s">
        <v>26</v>
      </c>
      <c r="C112" s="21">
        <f>('2001-02'!J17-'2001-02'!C17)/'2001-02'!C17</f>
        <v>0.27770534550195564</v>
      </c>
      <c r="D112" s="21">
        <f>('2001-02'!K17-'2001-02'!D17)/'2001-02'!D17</f>
        <v>0.3086642599277979</v>
      </c>
      <c r="E112" s="21">
        <f>('2001-02'!L17-'2001-02'!E17)/'2001-02'!E17</f>
        <v>0.32059447983014866</v>
      </c>
      <c r="F112" s="21">
        <f>('2001-02'!M17-'2001-02'!F17)/'2001-02'!F17</f>
        <v>0.4096045197740113</v>
      </c>
      <c r="H112" s="5" t="s">
        <v>26</v>
      </c>
      <c r="I112" s="20">
        <v>204</v>
      </c>
      <c r="J112" s="20">
        <v>216</v>
      </c>
      <c r="K112" s="20">
        <v>163</v>
      </c>
      <c r="L112" s="20">
        <v>76</v>
      </c>
      <c r="N112" s="27">
        <f>SUM(N101:N111)</f>
        <v>475535.9</v>
      </c>
      <c r="O112" s="27">
        <f>SUM(O101:O111)</f>
        <v>171187.7</v>
      </c>
      <c r="P112" s="27">
        <f>SUM(P101:P111)</f>
        <v>130302.19999999998</v>
      </c>
      <c r="Q112" s="27">
        <f>SUM(Q101:Q111)</f>
        <v>8413.1</v>
      </c>
      <c r="R112" s="27"/>
      <c r="S112" s="27">
        <f>SUM(S101:S111)</f>
        <v>582277.1</v>
      </c>
      <c r="T112" s="27">
        <f>SUM(T101:T111)</f>
        <v>215466.7</v>
      </c>
      <c r="U112" s="27">
        <f>SUM(U101:U111)</f>
        <v>163195.4</v>
      </c>
      <c r="V112" s="27">
        <f>SUM(V101:V111)</f>
        <v>10400.3</v>
      </c>
    </row>
    <row r="113" spans="14:22" ht="9.75">
      <c r="N113" s="27"/>
      <c r="O113" s="27"/>
      <c r="P113" s="27"/>
      <c r="Q113" s="27"/>
      <c r="R113" s="27"/>
      <c r="S113" s="27"/>
      <c r="T113" s="27"/>
      <c r="U113" s="27"/>
      <c r="V113" s="27"/>
    </row>
    <row r="114" spans="2:22" ht="10.5" thickBot="1">
      <c r="B114" s="50" t="s">
        <v>5</v>
      </c>
      <c r="C114" s="50"/>
      <c r="D114" s="50"/>
      <c r="E114" s="50"/>
      <c r="F114" s="50"/>
      <c r="G114" s="50"/>
      <c r="H114" s="50"/>
      <c r="I114" s="50"/>
      <c r="J114" s="50"/>
      <c r="K114" s="50"/>
      <c r="L114" s="50"/>
      <c r="M114" s="12"/>
      <c r="N114" s="28"/>
      <c r="O114" s="28"/>
      <c r="P114" s="28"/>
      <c r="Q114" s="28"/>
      <c r="R114" s="28"/>
      <c r="S114" s="28"/>
      <c r="T114" s="28"/>
      <c r="U114" s="28"/>
      <c r="V114" s="28"/>
    </row>
    <row r="115" spans="2:22" ht="9.75">
      <c r="B115" s="51" t="s">
        <v>11</v>
      </c>
      <c r="C115" s="51" t="s">
        <v>12</v>
      </c>
      <c r="D115" s="51"/>
      <c r="E115" s="51"/>
      <c r="F115" s="51"/>
      <c r="H115" s="51" t="s">
        <v>11</v>
      </c>
      <c r="I115" s="51" t="s">
        <v>13</v>
      </c>
      <c r="J115" s="51"/>
      <c r="K115" s="51"/>
      <c r="L115" s="51"/>
      <c r="N115" s="27"/>
      <c r="O115" s="27"/>
      <c r="P115" s="27"/>
      <c r="Q115" s="27"/>
      <c r="R115" s="27"/>
      <c r="S115" s="27"/>
      <c r="T115" s="27"/>
      <c r="U115" s="27"/>
      <c r="V115" s="27"/>
    </row>
    <row r="116" spans="2:22" ht="9.75">
      <c r="B116" s="51"/>
      <c r="C116" s="8" t="s">
        <v>44</v>
      </c>
      <c r="D116" s="8" t="s">
        <v>14</v>
      </c>
      <c r="E116" s="8" t="s">
        <v>15</v>
      </c>
      <c r="F116" s="8" t="s">
        <v>16</v>
      </c>
      <c r="H116" s="51"/>
      <c r="I116" s="8" t="s">
        <v>44</v>
      </c>
      <c r="J116" s="8" t="s">
        <v>14</v>
      </c>
      <c r="K116" s="8" t="s">
        <v>15</v>
      </c>
      <c r="L116" s="8" t="s">
        <v>16</v>
      </c>
      <c r="N116" s="52" t="s">
        <v>17</v>
      </c>
      <c r="O116" s="52"/>
      <c r="P116" s="52"/>
      <c r="Q116" s="52"/>
      <c r="R116" s="52"/>
      <c r="S116" s="52"/>
      <c r="T116" s="52"/>
      <c r="U116" s="52"/>
      <c r="V116" s="52"/>
    </row>
    <row r="117" spans="2:22" ht="9.75">
      <c r="B117" s="5" t="s">
        <v>18</v>
      </c>
      <c r="C117" s="21">
        <f>('2000-01'!$J$5-'2000-01'!$C$5)/'2000-01'!$C$5</f>
        <v>0.21958174904942973</v>
      </c>
      <c r="D117" s="21">
        <f>('2000-01'!$K$5-'2000-01'!$D$5)/'2000-01'!$D$5</f>
        <v>0.2605729877216918</v>
      </c>
      <c r="E117" s="21">
        <f>('2000-01'!$L$5-'2000-01'!$E$5)/'2000-01'!$E$5</f>
        <v>0.28140703517587934</v>
      </c>
      <c r="F117" s="21">
        <f>('2000-01'!$M$5-'2000-01'!$F$5)/'2000-01'!$F$5</f>
        <v>0.29151291512915123</v>
      </c>
      <c r="H117" s="5" t="s">
        <v>18</v>
      </c>
      <c r="I117" s="20">
        <f>694+136</f>
        <v>830</v>
      </c>
      <c r="J117" s="20">
        <f>266+176</f>
        <v>442</v>
      </c>
      <c r="K117" s="20">
        <f>336+216</f>
        <v>552</v>
      </c>
      <c r="L117" s="20">
        <v>13</v>
      </c>
      <c r="N117" s="27">
        <f>I117*'2000-01'!C5</f>
        <v>87316</v>
      </c>
      <c r="O117" s="27">
        <f>J117*'2000-01'!D5</f>
        <v>32398.6</v>
      </c>
      <c r="P117" s="27">
        <f>K117*'2000-01'!E5</f>
        <v>32954.4</v>
      </c>
      <c r="Q117" s="27">
        <f>L117*'2000-01'!F5</f>
        <v>704.6</v>
      </c>
      <c r="R117" s="27"/>
      <c r="S117" s="27">
        <f>I117*'2000-01'!J5</f>
        <v>106489.00000000001</v>
      </c>
      <c r="T117" s="27">
        <f>J117*'2000-01'!K5</f>
        <v>40840.8</v>
      </c>
      <c r="U117" s="27">
        <f>K117*'2000-01'!L5</f>
        <v>42228</v>
      </c>
      <c r="V117" s="27">
        <f>L117*'2000-01'!M5</f>
        <v>910</v>
      </c>
    </row>
    <row r="118" spans="2:22" ht="9.75">
      <c r="B118" s="5" t="s">
        <v>51</v>
      </c>
      <c r="C118" s="21">
        <f>('2000-01'!$J$6-'2000-01'!$C$6)/'2000-01'!$C$6</f>
        <v>0.2729941291585126</v>
      </c>
      <c r="D118" s="21">
        <f>('2000-01'!$K$6-'2000-01'!$D$6)/'2000-01'!$D$6</f>
        <v>0.2902735562310032</v>
      </c>
      <c r="E118" s="21">
        <f>('2000-01'!$L$6-'2000-01'!$E$6)/'2000-01'!$E$6</f>
        <v>0.28956834532374104</v>
      </c>
      <c r="F118" s="21" t="s">
        <v>52</v>
      </c>
      <c r="H118" s="5" t="s">
        <v>51</v>
      </c>
      <c r="I118" s="20">
        <f>360+69</f>
        <v>429</v>
      </c>
      <c r="J118" s="20">
        <f>101+58</f>
        <v>159</v>
      </c>
      <c r="K118" s="20">
        <f>56+47</f>
        <v>103</v>
      </c>
      <c r="L118" s="20">
        <v>0</v>
      </c>
      <c r="N118" s="27">
        <f>I118*'2000-01'!C6</f>
        <v>43843.8</v>
      </c>
      <c r="O118" s="27">
        <f>J118*'2000-01'!D6</f>
        <v>10462.199999999999</v>
      </c>
      <c r="P118" s="27">
        <f>K118*'2000-01'!E6</f>
        <v>5726.8</v>
      </c>
      <c r="Q118" s="27">
        <v>0</v>
      </c>
      <c r="R118" s="27"/>
      <c r="S118" s="27">
        <f>I118*'2000-01'!J6</f>
        <v>55812.899999999994</v>
      </c>
      <c r="T118" s="27">
        <f>J118*'2000-01'!K6</f>
        <v>13499.1</v>
      </c>
      <c r="U118" s="27">
        <f>K118*'2000-01'!L6</f>
        <v>7385.1</v>
      </c>
      <c r="V118" s="27">
        <v>0</v>
      </c>
    </row>
    <row r="119" spans="2:22" ht="9.75">
      <c r="B119" s="5" t="s">
        <v>19</v>
      </c>
      <c r="C119" s="21">
        <f>('2000-01'!$J$7-'2000-01'!$C$7)/'2000-01'!$C$7</f>
        <v>0.2090395480225989</v>
      </c>
      <c r="D119" s="21">
        <f>('2000-01'!$K$7-'2000-01'!$D$7)/'2000-01'!$D$7</f>
        <v>0.24929971988795513</v>
      </c>
      <c r="E119" s="21">
        <f>('2000-01'!$L$7-'2000-01'!$E$7)/'2000-01'!$E$7</f>
        <v>0.2491166077738516</v>
      </c>
      <c r="F119" s="21">
        <f>('2000-01'!$M$7-'2000-01'!$F$7)/'2000-01'!$F$7</f>
        <v>0.26579520697167763</v>
      </c>
      <c r="H119" s="5" t="s">
        <v>19</v>
      </c>
      <c r="I119" s="20">
        <f>423+57</f>
        <v>480</v>
      </c>
      <c r="J119" s="20">
        <f>182+82</f>
        <v>264</v>
      </c>
      <c r="K119" s="20">
        <f>114+95</f>
        <v>209</v>
      </c>
      <c r="L119" s="20">
        <v>13</v>
      </c>
      <c r="N119" s="27">
        <f>I119*'2000-01'!C7</f>
        <v>50976</v>
      </c>
      <c r="O119" s="27">
        <f>J119*'2000-01'!D7</f>
        <v>18849.600000000002</v>
      </c>
      <c r="P119" s="27">
        <f>K119*'2000-01'!E7</f>
        <v>11829.4</v>
      </c>
      <c r="Q119" s="27">
        <f>L119*'2000-01'!F7</f>
        <v>596.6999999999999</v>
      </c>
      <c r="R119" s="27"/>
      <c r="S119" s="27">
        <f>I119*'2000-01'!J7</f>
        <v>61632</v>
      </c>
      <c r="T119" s="27">
        <f>J119*'2000-01'!K7</f>
        <v>23548.8</v>
      </c>
      <c r="U119" s="27">
        <f>K119*'2000-01'!L7</f>
        <v>14776.300000000001</v>
      </c>
      <c r="V119" s="27">
        <f>L119*'2000-01'!M7</f>
        <v>755.3000000000001</v>
      </c>
    </row>
    <row r="120" spans="2:22" ht="9.75">
      <c r="B120" s="5" t="s">
        <v>20</v>
      </c>
      <c r="C120" s="21">
        <f>('2000-01'!$J$8-'2000-01'!$C$8)/'2000-01'!$C$8</f>
        <v>0.24284199363732775</v>
      </c>
      <c r="D120" s="21">
        <f>('2000-01'!$K$8-'2000-01'!$D$8)/'2000-01'!$D$8</f>
        <v>0.24320000000000006</v>
      </c>
      <c r="E120" s="21">
        <f>('2000-01'!$L$8-'2000-01'!$E$8)/'2000-01'!$E$8</f>
        <v>0.23809523809523797</v>
      </c>
      <c r="F120" s="21" t="s">
        <v>52</v>
      </c>
      <c r="H120" s="5" t="s">
        <v>20</v>
      </c>
      <c r="I120" s="6">
        <f>429+77</f>
        <v>506</v>
      </c>
      <c r="J120" s="6">
        <f>193+138</f>
        <v>331</v>
      </c>
      <c r="K120" s="6">
        <f>166+144</f>
        <v>310</v>
      </c>
      <c r="L120" s="6">
        <v>0</v>
      </c>
      <c r="N120" s="27">
        <f>I120*'2000-01'!C8</f>
        <v>47715.799999999996</v>
      </c>
      <c r="O120" s="27">
        <f>J120*'2000-01'!D8</f>
        <v>20687.5</v>
      </c>
      <c r="P120" s="27">
        <f>K120*'2000-01'!E8</f>
        <v>16926</v>
      </c>
      <c r="Q120" s="27">
        <v>0</v>
      </c>
      <c r="R120" s="27"/>
      <c r="S120" s="27">
        <f>I120*'2000-01'!J8</f>
        <v>59303.200000000004</v>
      </c>
      <c r="T120" s="27">
        <f>J120*'2000-01'!K8</f>
        <v>25718.7</v>
      </c>
      <c r="U120" s="27">
        <f>K120*'2000-01'!L8</f>
        <v>20956</v>
      </c>
      <c r="V120" s="27">
        <v>0</v>
      </c>
    </row>
    <row r="121" spans="2:22" ht="9.75">
      <c r="B121" s="5" t="s">
        <v>21</v>
      </c>
      <c r="C121" s="21">
        <f>('2000-01'!$J$9-'2000-01'!$C$9)/'2000-01'!$C$9</f>
        <v>0.1684836471754212</v>
      </c>
      <c r="D121" s="21">
        <f>('2000-01'!$K$9-'2000-01'!$D$9)/'2000-01'!$D$9</f>
        <v>0.18907563025210083</v>
      </c>
      <c r="E121" s="21">
        <f>('2000-01'!$L$9-'2000-01'!$E$9)/'2000-01'!$E$9</f>
        <v>0.19316239316239311</v>
      </c>
      <c r="F121" s="21">
        <f>('2000-01'!$M$9-'2000-01'!$F$9)/'2000-01'!$F$9</f>
        <v>0.17190082644628107</v>
      </c>
      <c r="H121" s="5" t="s">
        <v>21</v>
      </c>
      <c r="I121" s="20">
        <f>431+126</f>
        <v>557</v>
      </c>
      <c r="J121" s="20">
        <f>167+93</f>
        <v>260</v>
      </c>
      <c r="K121" s="20">
        <f>122+88</f>
        <v>210</v>
      </c>
      <c r="L121" s="20">
        <v>7</v>
      </c>
      <c r="N121" s="27">
        <f>I121*'2000-01'!C9</f>
        <v>56201.3</v>
      </c>
      <c r="O121" s="27">
        <f>J121*'2000-01'!D9</f>
        <v>18564</v>
      </c>
      <c r="P121" s="27">
        <f>K121*'2000-01'!E9</f>
        <v>12285</v>
      </c>
      <c r="Q121" s="27">
        <f>L121*'2000-01'!F9</f>
        <v>423.5</v>
      </c>
      <c r="R121" s="27"/>
      <c r="S121" s="27">
        <f>I121*'2000-01'!J9</f>
        <v>65670.3</v>
      </c>
      <c r="T121" s="27">
        <f>J121*'2000-01'!K9</f>
        <v>22074</v>
      </c>
      <c r="U121" s="27">
        <f>K121*'2000-01'!L9</f>
        <v>14658</v>
      </c>
      <c r="V121" s="27">
        <f>L121*'2000-01'!M9</f>
        <v>496.30000000000007</v>
      </c>
    </row>
    <row r="122" spans="2:22" ht="9.75">
      <c r="B122" s="5" t="s">
        <v>22</v>
      </c>
      <c r="C122" s="21">
        <f>('2000-01'!$J$10-'2000-01'!$C$10)/'2000-01'!$C$10</f>
        <v>0.25396825396825384</v>
      </c>
      <c r="D122" s="21">
        <f>('2000-01'!$K$10-'2000-01'!$D$10)/'2000-01'!$D$10</f>
        <v>0.27168576104746317</v>
      </c>
      <c r="E122" s="21">
        <f>('2000-01'!$L$10-'2000-01'!$E$10)/'2000-01'!$E$10</f>
        <v>0.2489959839357431</v>
      </c>
      <c r="F122" s="21" t="s">
        <v>52</v>
      </c>
      <c r="H122" s="5" t="s">
        <v>22</v>
      </c>
      <c r="I122" s="20">
        <f>499+128</f>
        <v>627</v>
      </c>
      <c r="J122" s="20">
        <f>270+121</f>
        <v>391</v>
      </c>
      <c r="K122" s="20">
        <f>172+108</f>
        <v>280</v>
      </c>
      <c r="L122" s="20">
        <v>3</v>
      </c>
      <c r="N122" s="27">
        <f>I122*'2000-01'!C10</f>
        <v>55301.4</v>
      </c>
      <c r="O122" s="27">
        <f>J122*'2000-01'!D10</f>
        <v>23890.100000000002</v>
      </c>
      <c r="P122" s="27">
        <f>K122*'2000-01'!E10</f>
        <v>13944</v>
      </c>
      <c r="Q122" s="27">
        <v>0</v>
      </c>
      <c r="R122" s="27"/>
      <c r="S122" s="27">
        <f>I122*'2000-01'!J10</f>
        <v>69346.2</v>
      </c>
      <c r="T122" s="27">
        <f>J122*'2000-01'!K10</f>
        <v>30380.7</v>
      </c>
      <c r="U122" s="27">
        <f>K122*'2000-01'!L10</f>
        <v>17416</v>
      </c>
      <c r="V122" s="27">
        <v>0</v>
      </c>
    </row>
    <row r="123" spans="2:22" ht="9.75">
      <c r="B123" s="5" t="s">
        <v>23</v>
      </c>
      <c r="C123" s="21">
        <f>('2000-01'!$J$11-'2000-01'!$C$11)/'2000-01'!$C$11</f>
        <v>0.2147024504084013</v>
      </c>
      <c r="D123" s="21">
        <f>('2000-01'!$K$11-'2000-01'!$D$11)/'2000-01'!$D$11</f>
        <v>0.23076923076923075</v>
      </c>
      <c r="E123" s="21">
        <f>('2000-01'!$L$11-'2000-01'!$E$11)/'2000-01'!$E$11</f>
        <v>0.23846153846153856</v>
      </c>
      <c r="F123" s="21">
        <f>('2000-01'!$M$11-'2000-01'!$F$11)/'2000-01'!$F$11</f>
        <v>0.2462311557788946</v>
      </c>
      <c r="H123" s="5" t="s">
        <v>23</v>
      </c>
      <c r="I123" s="20">
        <f>370+69</f>
        <v>439</v>
      </c>
      <c r="J123" s="20">
        <f>206+101</f>
        <v>307</v>
      </c>
      <c r="K123" s="20">
        <f>152+88</f>
        <v>240</v>
      </c>
      <c r="L123" s="20">
        <f>62+69</f>
        <v>131</v>
      </c>
      <c r="N123" s="27">
        <f>I123*'2000-01'!C11</f>
        <v>37622.3</v>
      </c>
      <c r="O123" s="27">
        <f>J123*'2000-01'!D11</f>
        <v>19156.8</v>
      </c>
      <c r="P123" s="27">
        <f>K123*'2000-01'!E11</f>
        <v>12480</v>
      </c>
      <c r="Q123" s="27">
        <f>L123*'2000-01'!F11</f>
        <v>5213.799999999999</v>
      </c>
      <c r="R123" s="27"/>
      <c r="S123" s="27">
        <f>I123*'2000-01'!J11</f>
        <v>45699.899999999994</v>
      </c>
      <c r="T123" s="27">
        <f>J123*'2000-01'!K11</f>
        <v>23577.6</v>
      </c>
      <c r="U123" s="27">
        <f>K123*'2000-01'!L11</f>
        <v>15456.000000000002</v>
      </c>
      <c r="V123" s="27">
        <f>L123*'2000-01'!M11</f>
        <v>6497.6</v>
      </c>
    </row>
    <row r="124" spans="2:22" ht="9.75">
      <c r="B124" s="5" t="s">
        <v>24</v>
      </c>
      <c r="C124" s="21">
        <f>('2000-01'!$J$12-'2000-01'!$C$12)/'2000-01'!$C$12</f>
        <v>0.2187134502923977</v>
      </c>
      <c r="D124" s="21">
        <f>('2000-01'!$K$12-'2000-01'!$D$12)/'2000-01'!$D$12</f>
        <v>0.23801916932907347</v>
      </c>
      <c r="E124" s="21">
        <f>('2000-01'!$L$12-'2000-01'!$E$12)/'2000-01'!$E$12</f>
        <v>0.22388059701492524</v>
      </c>
      <c r="F124" s="21">
        <f>('2000-01'!$M$12-'2000-01'!$F$12)/'2000-01'!$F$12</f>
        <v>0.24661246612466128</v>
      </c>
      <c r="H124" s="5" t="s">
        <v>24</v>
      </c>
      <c r="I124" s="20">
        <f>714+158</f>
        <v>872</v>
      </c>
      <c r="J124" s="20">
        <f>268+156</f>
        <v>424</v>
      </c>
      <c r="K124" s="20">
        <f>178+138</f>
        <v>316</v>
      </c>
      <c r="L124" s="20">
        <f>13+10</f>
        <v>23</v>
      </c>
      <c r="N124" s="27">
        <f>I124*'2000-01'!C12</f>
        <v>74556</v>
      </c>
      <c r="O124" s="27">
        <f>J124*'2000-01'!D12</f>
        <v>26542.4</v>
      </c>
      <c r="P124" s="27">
        <f>K124*'2000-01'!E12</f>
        <v>16937.600000000002</v>
      </c>
      <c r="Q124" s="27">
        <f>L124*'2000-01'!F12</f>
        <v>848.6999999999999</v>
      </c>
      <c r="R124" s="27"/>
      <c r="S124" s="27">
        <f>I124*'2000-01'!J12</f>
        <v>90862.40000000001</v>
      </c>
      <c r="T124" s="27">
        <f>J124*'2000-01'!K12</f>
        <v>32860</v>
      </c>
      <c r="U124" s="27">
        <f>K124*'2000-01'!L12</f>
        <v>20729.6</v>
      </c>
      <c r="V124" s="27">
        <f>L124*'2000-01'!M12</f>
        <v>1058</v>
      </c>
    </row>
    <row r="125" spans="2:22" ht="9.75">
      <c r="B125" s="5"/>
      <c r="I125" s="20"/>
      <c r="J125" s="20"/>
      <c r="K125" s="20"/>
      <c r="L125" s="20"/>
      <c r="N125" s="27"/>
      <c r="O125" s="27"/>
      <c r="P125" s="27"/>
      <c r="Q125" s="27"/>
      <c r="R125" s="27"/>
      <c r="S125" s="27"/>
      <c r="T125" s="27"/>
      <c r="U125" s="27"/>
      <c r="V125" s="27"/>
    </row>
    <row r="126" spans="2:22" ht="9.75">
      <c r="B126" s="5" t="s">
        <v>59</v>
      </c>
      <c r="C126" s="21">
        <f>('2000-01'!$J$14-'2000-01'!$C$14)/'2000-01'!$C$14</f>
        <v>0.22468107263733386</v>
      </c>
      <c r="D126" s="21">
        <f>('2000-01'!$K$14-'2000-01'!$D$14)/'2000-01'!$D$14</f>
        <v>0.24618284637134782</v>
      </c>
      <c r="E126" s="21">
        <f>('2000-01'!$L$14-'2000-01'!$E$14)/'2000-01'!$E$14</f>
        <v>0.24545867393278828</v>
      </c>
      <c r="F126" s="21">
        <f>('2000-01'!$M$14-'2000-01'!$F$14)/'2000-01'!$F$14</f>
        <v>0.24146649810366644</v>
      </c>
      <c r="H126" s="5" t="s">
        <v>25</v>
      </c>
      <c r="I126" s="20">
        <f>SUM(I117:I125)</f>
        <v>4740</v>
      </c>
      <c r="J126" s="20">
        <f>SUM(J117:J125)</f>
        <v>2578</v>
      </c>
      <c r="K126" s="20">
        <f>SUM(K117:K125)</f>
        <v>2220</v>
      </c>
      <c r="L126" s="20">
        <f>SUM(L117:L125)</f>
        <v>190</v>
      </c>
      <c r="N126" s="27"/>
      <c r="O126" s="27"/>
      <c r="P126" s="27"/>
      <c r="Q126" s="27"/>
      <c r="R126" s="27"/>
      <c r="S126" s="27"/>
      <c r="T126" s="27"/>
      <c r="U126" s="27"/>
      <c r="V126" s="27"/>
    </row>
    <row r="127" spans="2:22" ht="9.75">
      <c r="B127" s="5"/>
      <c r="I127" s="20"/>
      <c r="J127" s="20"/>
      <c r="K127" s="20"/>
      <c r="L127" s="20"/>
      <c r="N127" s="27"/>
      <c r="O127" s="27"/>
      <c r="P127" s="27"/>
      <c r="Q127" s="27"/>
      <c r="R127" s="27"/>
      <c r="S127" s="27"/>
      <c r="T127" s="27"/>
      <c r="U127" s="27"/>
      <c r="V127" s="27"/>
    </row>
    <row r="128" spans="2:22" ht="9.75">
      <c r="B128" s="5" t="s">
        <v>26</v>
      </c>
      <c r="C128" s="21">
        <f>('2000-01'!$J$17-'2000-01'!$C$17)/'2000-01'!$C$17</f>
        <v>0.27645502645502656</v>
      </c>
      <c r="D128" s="21">
        <f>('2000-01'!$K$17-'2000-01'!$D$17)/'2000-01'!$D$17</f>
        <v>0.3014440433212996</v>
      </c>
      <c r="E128" s="21">
        <f>('2000-01'!$L$17-'2000-01'!$E$17)/'2000-01'!$E$17</f>
        <v>0.3191489361702128</v>
      </c>
      <c r="F128" s="21">
        <f>('2000-01'!$M$17-'2000-01'!$F$17)/'2000-01'!$F$17</f>
        <v>0.38504155124653733</v>
      </c>
      <c r="H128" s="5" t="s">
        <v>26</v>
      </c>
      <c r="I128" s="20">
        <f>160+43</f>
        <v>203</v>
      </c>
      <c r="J128" s="20">
        <f>142+86</f>
        <v>228</v>
      </c>
      <c r="K128" s="20">
        <f>84+63</f>
        <v>147</v>
      </c>
      <c r="L128" s="20">
        <f>39+46</f>
        <v>85</v>
      </c>
      <c r="N128" s="27">
        <f>SUM(N117:N127)</f>
        <v>453532.6</v>
      </c>
      <c r="O128" s="27">
        <f>SUM(O117:O127)</f>
        <v>170551.19999999998</v>
      </c>
      <c r="P128" s="27">
        <f>SUM(P117:P127)</f>
        <v>123083.20000000001</v>
      </c>
      <c r="Q128" s="27">
        <f>SUM(Q117:Q127)</f>
        <v>7787.299999999999</v>
      </c>
      <c r="R128" s="27"/>
      <c r="S128" s="27">
        <f>SUM(S117:S127)</f>
        <v>554815.9</v>
      </c>
      <c r="T128" s="27">
        <f>SUM(T117:T127)</f>
        <v>212499.7</v>
      </c>
      <c r="U128" s="27">
        <f>SUM(U117:U127)</f>
        <v>153605</v>
      </c>
      <c r="V128" s="27">
        <f>SUM(V117:V127)</f>
        <v>9717.2</v>
      </c>
    </row>
    <row r="129" spans="14:22" ht="9.75">
      <c r="N129" s="27"/>
      <c r="O129" s="27"/>
      <c r="P129" s="27"/>
      <c r="Q129" s="27"/>
      <c r="R129" s="27"/>
      <c r="S129" s="27"/>
      <c r="T129" s="27"/>
      <c r="U129" s="27"/>
      <c r="V129" s="27"/>
    </row>
    <row r="130" spans="2:22" ht="10.5" thickBot="1">
      <c r="B130" s="50" t="s">
        <v>6</v>
      </c>
      <c r="C130" s="50"/>
      <c r="D130" s="50"/>
      <c r="E130" s="50"/>
      <c r="F130" s="50"/>
      <c r="G130" s="50"/>
      <c r="H130" s="50"/>
      <c r="I130" s="50"/>
      <c r="J130" s="50"/>
      <c r="K130" s="50"/>
      <c r="L130" s="50"/>
      <c r="N130" s="27"/>
      <c r="O130" s="27"/>
      <c r="P130" s="27"/>
      <c r="Q130" s="27"/>
      <c r="R130" s="27"/>
      <c r="S130" s="27"/>
      <c r="T130" s="27"/>
      <c r="U130" s="27"/>
      <c r="V130" s="27"/>
    </row>
    <row r="131" spans="2:22" ht="9.75">
      <c r="B131" s="51" t="s">
        <v>11</v>
      </c>
      <c r="C131" s="51" t="s">
        <v>12</v>
      </c>
      <c r="D131" s="51"/>
      <c r="E131" s="51"/>
      <c r="F131" s="51"/>
      <c r="H131" s="51" t="s">
        <v>11</v>
      </c>
      <c r="I131" s="51" t="s">
        <v>13</v>
      </c>
      <c r="J131" s="51"/>
      <c r="K131" s="51"/>
      <c r="L131" s="51"/>
      <c r="N131" s="27"/>
      <c r="O131" s="27"/>
      <c r="P131" s="27"/>
      <c r="Q131" s="27"/>
      <c r="R131" s="27"/>
      <c r="S131" s="27"/>
      <c r="T131" s="27"/>
      <c r="U131" s="27"/>
      <c r="V131" s="27"/>
    </row>
    <row r="132" spans="2:22" ht="9.75">
      <c r="B132" s="51"/>
      <c r="C132" s="8" t="s">
        <v>44</v>
      </c>
      <c r="D132" s="8" t="s">
        <v>14</v>
      </c>
      <c r="E132" s="8" t="s">
        <v>15</v>
      </c>
      <c r="F132" s="8" t="s">
        <v>16</v>
      </c>
      <c r="H132" s="51"/>
      <c r="I132" s="8" t="s">
        <v>44</v>
      </c>
      <c r="J132" s="8" t="s">
        <v>14</v>
      </c>
      <c r="K132" s="8" t="s">
        <v>15</v>
      </c>
      <c r="L132" s="8" t="s">
        <v>16</v>
      </c>
      <c r="N132" s="52" t="s">
        <v>17</v>
      </c>
      <c r="O132" s="52"/>
      <c r="P132" s="52"/>
      <c r="Q132" s="52"/>
      <c r="R132" s="52"/>
      <c r="S132" s="52"/>
      <c r="T132" s="52"/>
      <c r="U132" s="52"/>
      <c r="V132" s="52"/>
    </row>
    <row r="133" spans="2:22" ht="9.75">
      <c r="B133" s="5" t="s">
        <v>18</v>
      </c>
      <c r="C133" s="21">
        <f>('1999-00'!$J$5-'1999-00'!$C$5)/'1999-00'!$C$5</f>
        <v>0.2170465807730425</v>
      </c>
      <c r="D133" s="21">
        <f>('1999-00'!$K$5-'1999-00'!$D$5)/'1999-00'!$D$5</f>
        <v>0.25626740947075216</v>
      </c>
      <c r="E133" s="21">
        <f>('1999-00'!$L$5-'1999-00'!$E$5)/'1999-00'!$E$5</f>
        <v>0.2772963604852686</v>
      </c>
      <c r="F133" s="21">
        <f>('1999-00'!M5-'1999-00'!F5)/'1999-00'!F5</f>
        <v>0.29083665338645404</v>
      </c>
      <c r="H133" s="5" t="s">
        <v>18</v>
      </c>
      <c r="I133" s="20">
        <f>700+133</f>
        <v>833</v>
      </c>
      <c r="J133" s="20">
        <f>284+170</f>
        <v>454</v>
      </c>
      <c r="K133" s="20">
        <f>304+213</f>
        <v>517</v>
      </c>
      <c r="L133" s="20">
        <v>17</v>
      </c>
      <c r="N133" s="27">
        <f>I133*'1999-00'!C5</f>
        <v>84049.70000000001</v>
      </c>
      <c r="O133" s="27">
        <f>J133*'1999-00'!D5</f>
        <v>32597.199999999997</v>
      </c>
      <c r="P133" s="27">
        <f>K133*'1999-00'!E5</f>
        <v>29830.9</v>
      </c>
      <c r="Q133" s="27">
        <f>L133*'1999-00'!F5</f>
        <v>853.4000000000001</v>
      </c>
      <c r="R133" s="27"/>
      <c r="S133" s="27">
        <f>I133*'1999-00'!J5</f>
        <v>102292.4</v>
      </c>
      <c r="T133" s="27">
        <f>J133*'1999-00'!K5</f>
        <v>40950.8</v>
      </c>
      <c r="U133" s="27">
        <f>K133*'1999-00'!L5</f>
        <v>38102.9</v>
      </c>
      <c r="V133" s="27">
        <f>L133*'1999-00'!M5</f>
        <v>1101.6</v>
      </c>
    </row>
    <row r="134" spans="2:22" ht="9.75">
      <c r="B134" s="5" t="s">
        <v>51</v>
      </c>
      <c r="C134" s="21">
        <f>('1999-00'!$J$6-'1999-00'!$C$6)/'1999-00'!$C$6</f>
        <v>0.2616339193381592</v>
      </c>
      <c r="D134" s="21">
        <f>('1999-00'!$K$6-'1999-00'!$D$6)/'1999-00'!$D$6</f>
        <v>0.2965299684542588</v>
      </c>
      <c r="E134" s="21">
        <f>('1999-00'!$L$6-'1999-00'!$E$6)/'1999-00'!$E$6</f>
        <v>0.30639097744360894</v>
      </c>
      <c r="F134" s="21" t="s">
        <v>52</v>
      </c>
      <c r="H134" s="5" t="s">
        <v>51</v>
      </c>
      <c r="I134" s="20">
        <f>344+69</f>
        <v>413</v>
      </c>
      <c r="J134" s="20">
        <f>106+53</f>
        <v>159</v>
      </c>
      <c r="K134" s="20">
        <f>65+47</f>
        <v>112</v>
      </c>
      <c r="L134" s="20">
        <v>0</v>
      </c>
      <c r="N134" s="27">
        <f>I134*'1999-00'!C6</f>
        <v>39937.1</v>
      </c>
      <c r="O134" s="27">
        <f>J134*'1999-00'!D6</f>
        <v>10080.6</v>
      </c>
      <c r="P134" s="27">
        <f>K134*'1999-00'!E6</f>
        <v>5958.400000000001</v>
      </c>
      <c r="Q134" s="27">
        <v>0</v>
      </c>
      <c r="R134" s="27"/>
      <c r="S134" s="27">
        <f>I134*'1999-00'!J6</f>
        <v>50386</v>
      </c>
      <c r="T134" s="27">
        <f>J134*'1999-00'!K6</f>
        <v>13069.800000000001</v>
      </c>
      <c r="U134" s="27">
        <f>K134*'1999-00'!L6</f>
        <v>7784</v>
      </c>
      <c r="V134" s="27">
        <v>0</v>
      </c>
    </row>
    <row r="135" spans="2:22" ht="9.75">
      <c r="B135" s="5" t="s">
        <v>19</v>
      </c>
      <c r="C135" s="21">
        <f>('1999-00'!$J$7-'1999-00'!$C$7)/'1999-00'!$C$7</f>
        <v>0.21442687747035574</v>
      </c>
      <c r="D135" s="21">
        <f>('1999-00'!$K$7-'1999-00'!$D$7)/'1999-00'!$D$7</f>
        <v>0.24963715529753247</v>
      </c>
      <c r="E135" s="21">
        <f>('1999-00'!$L$7-'1999-00'!$E$7)/'1999-00'!$E$7</f>
        <v>0.2588454376163872</v>
      </c>
      <c r="F135" s="21">
        <f>('1999-00'!M7-'1999-00'!F7)/'1999-00'!F7</f>
        <v>0.25242718446601936</v>
      </c>
      <c r="H135" s="5" t="s">
        <v>19</v>
      </c>
      <c r="I135" s="20">
        <f>408+56</f>
        <v>464</v>
      </c>
      <c r="J135" s="20">
        <f>175+82</f>
        <v>257</v>
      </c>
      <c r="K135" s="20">
        <f>105+108</f>
        <v>213</v>
      </c>
      <c r="L135" s="20">
        <v>21</v>
      </c>
      <c r="N135" s="27">
        <f>I135*'1999-00'!C7</f>
        <v>46956.8</v>
      </c>
      <c r="O135" s="27">
        <f>J135*'1999-00'!D7</f>
        <v>17707.300000000003</v>
      </c>
      <c r="P135" s="27">
        <f>K135*'1999-00'!E7</f>
        <v>11438.1</v>
      </c>
      <c r="Q135" s="27">
        <f>L135*'1999-00'!F7</f>
        <v>865.2</v>
      </c>
      <c r="R135" s="27"/>
      <c r="S135" s="27">
        <f>I135*'1999-00'!J7</f>
        <v>57025.600000000006</v>
      </c>
      <c r="T135" s="27">
        <f>J135*'1999-00'!K7</f>
        <v>22127.699999999997</v>
      </c>
      <c r="U135" s="27">
        <f>K135*'1999-00'!L7</f>
        <v>14398.8</v>
      </c>
      <c r="V135" s="27">
        <f>L135*'1999-00'!M7</f>
        <v>1083.6000000000001</v>
      </c>
    </row>
    <row r="136" spans="2:22" ht="9.75">
      <c r="B136" s="5" t="s">
        <v>20</v>
      </c>
      <c r="C136" s="21">
        <f>('1999-00'!$J$8-'1999-00'!$C$8)/'1999-00'!$C$8</f>
        <v>0.23995535714285715</v>
      </c>
      <c r="D136" s="21">
        <f>('1999-00'!$K$8-'1999-00'!$D$8)/'1999-00'!$D$8</f>
        <v>0.2648026315789475</v>
      </c>
      <c r="E136" s="21">
        <f>('1999-00'!$L$8-'1999-00'!$E$8)/'1999-00'!$E$8</f>
        <v>0.27703984819734334</v>
      </c>
      <c r="F136" s="21">
        <f>('1999-00'!M8-'1999-00'!F8)/'1999-00'!F8</f>
        <v>0.3009478672985781</v>
      </c>
      <c r="H136" s="5" t="s">
        <v>20</v>
      </c>
      <c r="I136" s="6">
        <f>426+73</f>
        <v>499</v>
      </c>
      <c r="J136" s="6">
        <f>203+145</f>
        <v>348</v>
      </c>
      <c r="K136" s="6">
        <f>158+128</f>
        <v>286</v>
      </c>
      <c r="L136" s="6">
        <v>6</v>
      </c>
      <c r="N136" s="27">
        <f>I136*'1999-00'!C8</f>
        <v>44710.399999999994</v>
      </c>
      <c r="O136" s="27">
        <f>J136*'1999-00'!D8</f>
        <v>21158.399999999998</v>
      </c>
      <c r="P136" s="27">
        <f>K136*'1999-00'!E8</f>
        <v>15072.2</v>
      </c>
      <c r="Q136" s="27">
        <f>L136*'1999-00'!F8</f>
        <v>253.20000000000002</v>
      </c>
      <c r="R136" s="27"/>
      <c r="S136" s="27">
        <f>I136*'1999-00'!J8</f>
        <v>55438.899999999994</v>
      </c>
      <c r="T136" s="27">
        <f>J136*'1999-00'!K8</f>
        <v>26761.2</v>
      </c>
      <c r="U136" s="27">
        <f>K136*'1999-00'!L8</f>
        <v>19247.8</v>
      </c>
      <c r="V136" s="27">
        <f>L136*'1999-00'!M8</f>
        <v>329.4</v>
      </c>
    </row>
    <row r="137" spans="2:22" ht="9.75">
      <c r="B137" s="5" t="s">
        <v>21</v>
      </c>
      <c r="C137" s="21">
        <f>('1999-00'!$J$9-'1999-00'!$C$9)/'1999-00'!$C$9</f>
        <v>0.16311300639658846</v>
      </c>
      <c r="D137" s="21">
        <f>('1999-00'!$K$9-'1999-00'!$D$9)/'1999-00'!$D$9</f>
        <v>0.18100890207715115</v>
      </c>
      <c r="E137" s="21">
        <f>('1999-00'!$L$9-'1999-00'!$E$9)/'1999-00'!$E$9</f>
        <v>0.18297101449275352</v>
      </c>
      <c r="F137" s="21">
        <f>('1999-00'!M9-'1999-00'!F9)/'1999-00'!F9</f>
        <v>0.17383820998278832</v>
      </c>
      <c r="H137" s="5" t="s">
        <v>21</v>
      </c>
      <c r="I137" s="20">
        <f>473+122</f>
        <v>595</v>
      </c>
      <c r="J137" s="20">
        <f>170+92</f>
        <v>262</v>
      </c>
      <c r="K137" s="20">
        <f>118+100</f>
        <v>218</v>
      </c>
      <c r="L137" s="20">
        <v>11</v>
      </c>
      <c r="N137" s="27">
        <f>I137*'1999-00'!C9</f>
        <v>55811</v>
      </c>
      <c r="O137" s="27">
        <f>J137*'1999-00'!D9</f>
        <v>17658.800000000003</v>
      </c>
      <c r="P137" s="27">
        <f>K137*'1999-00'!E9</f>
        <v>12033.6</v>
      </c>
      <c r="Q137" s="27">
        <f>L137*'1999-00'!F9</f>
        <v>639.1</v>
      </c>
      <c r="R137" s="27"/>
      <c r="S137" s="27">
        <f>I137*'1999-00'!J9</f>
        <v>64914.5</v>
      </c>
      <c r="T137" s="27">
        <f>J137*'1999-00'!K9</f>
        <v>20855.199999999997</v>
      </c>
      <c r="U137" s="27">
        <f>K137*'1999-00'!L9</f>
        <v>14235.4</v>
      </c>
      <c r="V137" s="27">
        <f>L137*'1999-00'!M9</f>
        <v>750.2</v>
      </c>
    </row>
    <row r="138" spans="2:22" ht="9.75">
      <c r="B138" s="5" t="s">
        <v>22</v>
      </c>
      <c r="C138" s="21">
        <f>('1999-00'!$J$10-'1999-00'!$C$10)/'1999-00'!$C$10</f>
        <v>0.2494117647058824</v>
      </c>
      <c r="D138" s="21">
        <f>('1999-00'!$K$10-'1999-00'!$D$10)/'1999-00'!$D$10</f>
        <v>0.26360544217687076</v>
      </c>
      <c r="E138" s="21">
        <f>('1999-00'!$L$10-'1999-00'!$E$10)/'1999-00'!$E$10</f>
        <v>0.24793388429752067</v>
      </c>
      <c r="F138" s="21">
        <f>('1999-00'!M10-'1999-00'!F10)/'1999-00'!F10</f>
        <v>0.18902439024390255</v>
      </c>
      <c r="H138" s="5" t="s">
        <v>22</v>
      </c>
      <c r="I138" s="20">
        <f>481+117</f>
        <v>598</v>
      </c>
      <c r="J138" s="20">
        <f>237+107</f>
        <v>344</v>
      </c>
      <c r="K138" s="20">
        <f>180+112</f>
        <v>292</v>
      </c>
      <c r="L138" s="20">
        <v>7</v>
      </c>
      <c r="N138" s="27">
        <f>I138*'1999-00'!C10</f>
        <v>50830</v>
      </c>
      <c r="O138" s="27">
        <f>J138*'1999-00'!D10</f>
        <v>20227.2</v>
      </c>
      <c r="P138" s="27">
        <f>K138*'1999-00'!E10</f>
        <v>14132.8</v>
      </c>
      <c r="Q138" s="27">
        <f>L138*'1999-00'!F10</f>
        <v>229.59999999999997</v>
      </c>
      <c r="R138" s="27"/>
      <c r="S138" s="27">
        <f>I138*'1999-00'!J10</f>
        <v>63507.6</v>
      </c>
      <c r="T138" s="27">
        <f>J138*'1999-00'!K10</f>
        <v>25559.2</v>
      </c>
      <c r="U138" s="27">
        <f>K138*'1999-00'!L10</f>
        <v>17636.8</v>
      </c>
      <c r="V138" s="27">
        <f>L138*'1999-00'!M10</f>
        <v>273</v>
      </c>
    </row>
    <row r="139" spans="2:22" ht="9.75">
      <c r="B139" s="5" t="s">
        <v>23</v>
      </c>
      <c r="C139" s="21">
        <f>('1999-00'!$J$11-'1999-00'!$C$11)/'1999-00'!$C$11</f>
        <v>0.21549636803874106</v>
      </c>
      <c r="D139" s="21">
        <f>('1999-00'!$K$11-'1999-00'!$D$11)/'1999-00'!$D$11</f>
        <v>0.2356902356902358</v>
      </c>
      <c r="E139" s="21">
        <f>('1999-00'!$L$11-'1999-00'!$E$11)/'1999-00'!$E$11</f>
        <v>0.23107569721115526</v>
      </c>
      <c r="F139" s="21">
        <f>('1999-00'!M11-'1999-00'!F11)/'1999-00'!F11</f>
        <v>0.22493224932249334</v>
      </c>
      <c r="H139" s="5" t="s">
        <v>23</v>
      </c>
      <c r="I139" s="20">
        <f>387+63</f>
        <v>450</v>
      </c>
      <c r="J139" s="20">
        <f>205+100</f>
        <v>305</v>
      </c>
      <c r="K139" s="20">
        <f>115+77</f>
        <v>192</v>
      </c>
      <c r="L139" s="20">
        <f>60+72</f>
        <v>132</v>
      </c>
      <c r="N139" s="27">
        <f>I139*'1999-00'!C11</f>
        <v>37170</v>
      </c>
      <c r="O139" s="27">
        <f>J139*'1999-00'!D11</f>
        <v>18117</v>
      </c>
      <c r="P139" s="27">
        <f>K139*'1999-00'!E11</f>
        <v>9638.400000000001</v>
      </c>
      <c r="Q139" s="27">
        <f>L139*'1999-00'!F11</f>
        <v>4870.8</v>
      </c>
      <c r="R139" s="27"/>
      <c r="S139" s="27">
        <f>I139*'1999-00'!J11</f>
        <v>45180</v>
      </c>
      <c r="T139" s="27">
        <f>J139*'1999-00'!K11</f>
        <v>22387</v>
      </c>
      <c r="U139" s="27">
        <f>K139*'1999-00'!L11</f>
        <v>11865.599999999999</v>
      </c>
      <c r="V139" s="27">
        <f>L139*'1999-00'!M11</f>
        <v>5966.400000000001</v>
      </c>
    </row>
    <row r="140" spans="2:22" ht="9.75">
      <c r="B140" s="5" t="s">
        <v>24</v>
      </c>
      <c r="C140" s="21">
        <f>('1999-00'!$J$12-'1999-00'!$C$12)/'1999-00'!$C$12</f>
        <v>0.2096774193548388</v>
      </c>
      <c r="D140" s="21">
        <f>('1999-00'!$K$12-'1999-00'!$D$12)/'1999-00'!$D$12</f>
        <v>0.2260273972602739</v>
      </c>
      <c r="E140" s="21">
        <f>('1999-00'!$L$12-'1999-00'!$E$12)/'1999-00'!$E$12</f>
        <v>0.20233463035019453</v>
      </c>
      <c r="F140" s="21">
        <f>('1999-00'!M12-'1999-00'!F12)/'1999-00'!F12</f>
        <v>0.2378223495702007</v>
      </c>
      <c r="H140" s="5" t="s">
        <v>24</v>
      </c>
      <c r="I140" s="20">
        <f>732+154</f>
        <v>886</v>
      </c>
      <c r="J140" s="20">
        <f>269+153</f>
        <v>422</v>
      </c>
      <c r="K140" s="20">
        <f>216+107</f>
        <v>323</v>
      </c>
      <c r="L140" s="20">
        <v>16</v>
      </c>
      <c r="N140" s="27">
        <f>I140*'1999-00'!C12</f>
        <v>71411.59999999999</v>
      </c>
      <c r="O140" s="27">
        <f>J140*'1999-00'!D12</f>
        <v>24644.8</v>
      </c>
      <c r="P140" s="27">
        <f>K140*'1999-00'!E12</f>
        <v>16602.2</v>
      </c>
      <c r="Q140" s="27">
        <f>L140*'1999-00'!F12</f>
        <v>558.4</v>
      </c>
      <c r="R140" s="27"/>
      <c r="S140" s="27">
        <f>I140*'1999-00'!J12</f>
        <v>86385</v>
      </c>
      <c r="T140" s="27">
        <f>J140*'1999-00'!K12</f>
        <v>30215.199999999997</v>
      </c>
      <c r="U140" s="27">
        <f>K140*'1999-00'!L12</f>
        <v>19961.399999999998</v>
      </c>
      <c r="V140" s="27">
        <f>L140*'1999-00'!M12</f>
        <v>691.2</v>
      </c>
    </row>
    <row r="141" spans="2:22" ht="9.75">
      <c r="B141" s="5"/>
      <c r="I141" s="20"/>
      <c r="J141" s="20"/>
      <c r="K141" s="20"/>
      <c r="L141" s="20"/>
      <c r="N141" s="27"/>
      <c r="O141" s="27"/>
      <c r="P141" s="27"/>
      <c r="Q141" s="27"/>
      <c r="R141" s="27"/>
      <c r="S141" s="27"/>
      <c r="T141" s="27"/>
      <c r="U141" s="27"/>
      <c r="V141" s="27"/>
    </row>
    <row r="142" spans="2:22" ht="9.75">
      <c r="B142" s="5" t="s">
        <v>59</v>
      </c>
      <c r="C142" s="21">
        <f>('1999-00'!$J$14-'1999-00'!$C$14)/'1999-00'!$C$14</f>
        <v>0.2212486308871851</v>
      </c>
      <c r="D142" s="21">
        <f>('1999-00'!$K$14-'1999-00'!$D$14)/'1999-00'!$D$14</f>
        <v>0.24641383375908857</v>
      </c>
      <c r="E142" s="21">
        <f>('1999-00'!$L$14-'1999-00'!$E$14)/'1999-00'!$E$14</f>
        <v>0.24828402366863916</v>
      </c>
      <c r="F142" s="21">
        <f>('1999-00'!$M$14-'1999-00'!$F$14)/'1999-00'!$F$14</f>
        <v>0.23827202159973013</v>
      </c>
      <c r="H142" s="5" t="s">
        <v>25</v>
      </c>
      <c r="I142" s="20">
        <f>SUM(I133:I141)</f>
        <v>4738</v>
      </c>
      <c r="J142" s="20">
        <f>SUM(J133:J141)</f>
        <v>2551</v>
      </c>
      <c r="K142" s="20">
        <f>SUM(K133:K141)</f>
        <v>2153</v>
      </c>
      <c r="L142" s="20">
        <f>SUM(L133:L141)</f>
        <v>210</v>
      </c>
      <c r="N142" s="27"/>
      <c r="O142" s="27"/>
      <c r="P142" s="27"/>
      <c r="Q142" s="27"/>
      <c r="R142" s="27"/>
      <c r="S142" s="27"/>
      <c r="T142" s="27"/>
      <c r="U142" s="27"/>
      <c r="V142" s="27"/>
    </row>
    <row r="143" spans="2:22" ht="9.75">
      <c r="B143" s="5"/>
      <c r="I143" s="20"/>
      <c r="J143" s="20"/>
      <c r="K143" s="20"/>
      <c r="L143" s="20"/>
      <c r="N143" s="27"/>
      <c r="O143" s="27"/>
      <c r="P143" s="27"/>
      <c r="Q143" s="27"/>
      <c r="R143" s="27"/>
      <c r="S143" s="27"/>
      <c r="T143" s="27"/>
      <c r="U143" s="27"/>
      <c r="V143" s="27"/>
    </row>
    <row r="144" spans="2:22" ht="9.75">
      <c r="B144" s="5" t="s">
        <v>26</v>
      </c>
      <c r="C144" s="21">
        <f>('1999-00'!$J$17-'1999-00'!$C$17)/'1999-00'!$C$17</f>
        <v>0.2783216783216784</v>
      </c>
      <c r="D144" s="21">
        <f>('1999-00'!$K$17-'1999-00'!$D$17)/'1999-00'!$D$17</f>
        <v>0.31660231660231675</v>
      </c>
      <c r="E144" s="21">
        <f>('1999-00'!$L$17-'1999-00'!$E$17)/'1999-00'!$E$17</f>
        <v>0.3251121076233184</v>
      </c>
      <c r="F144" s="21">
        <f>('1999-00'!$M$17-'1999-00'!$F$17)/'1999-00'!$F$17</f>
        <v>0.4</v>
      </c>
      <c r="H144" s="5" t="s">
        <v>26</v>
      </c>
      <c r="I144" s="20">
        <f>161+41</f>
        <v>202</v>
      </c>
      <c r="J144" s="20">
        <f>126+66</f>
        <v>192</v>
      </c>
      <c r="K144" s="20">
        <f>78+60</f>
        <v>138</v>
      </c>
      <c r="L144" s="20">
        <f>46+46</f>
        <v>92</v>
      </c>
      <c r="N144" s="27">
        <f>SUM(N133:N143)</f>
        <v>430876.6</v>
      </c>
      <c r="O144" s="27">
        <f aca="true" t="shared" si="0" ref="O144:V144">SUM(O133:O143)</f>
        <v>162191.3</v>
      </c>
      <c r="P144" s="27">
        <f t="shared" si="0"/>
        <v>114706.60000000002</v>
      </c>
      <c r="Q144" s="27">
        <f t="shared" si="0"/>
        <v>8269.7</v>
      </c>
      <c r="R144" s="27"/>
      <c r="S144" s="27">
        <f t="shared" si="0"/>
        <v>525130</v>
      </c>
      <c r="T144" s="27">
        <f t="shared" si="0"/>
        <v>201926.09999999998</v>
      </c>
      <c r="U144" s="27">
        <f t="shared" si="0"/>
        <v>143232.69999999998</v>
      </c>
      <c r="V144" s="27">
        <f t="shared" si="0"/>
        <v>10195.400000000001</v>
      </c>
    </row>
    <row r="145" spans="14:22" ht="9.75">
      <c r="N145" s="27"/>
      <c r="O145" s="27"/>
      <c r="P145" s="27"/>
      <c r="Q145" s="27"/>
      <c r="R145" s="27"/>
      <c r="S145" s="27"/>
      <c r="T145" s="27"/>
      <c r="U145" s="27"/>
      <c r="V145" s="27"/>
    </row>
    <row r="146" spans="2:22" ht="10.5" thickBot="1">
      <c r="B146" s="50" t="s">
        <v>7</v>
      </c>
      <c r="C146" s="50"/>
      <c r="D146" s="50"/>
      <c r="E146" s="50"/>
      <c r="F146" s="50"/>
      <c r="G146" s="50"/>
      <c r="H146" s="50"/>
      <c r="I146" s="50"/>
      <c r="J146" s="50"/>
      <c r="K146" s="50"/>
      <c r="L146" s="50"/>
      <c r="N146" s="27"/>
      <c r="O146" s="27"/>
      <c r="P146" s="27"/>
      <c r="Q146" s="27"/>
      <c r="R146" s="27"/>
      <c r="S146" s="27"/>
      <c r="T146" s="27"/>
      <c r="U146" s="27"/>
      <c r="V146" s="27"/>
    </row>
    <row r="147" spans="2:22" ht="9.75">
      <c r="B147" s="51" t="s">
        <v>11</v>
      </c>
      <c r="C147" s="51" t="s">
        <v>12</v>
      </c>
      <c r="D147" s="51"/>
      <c r="E147" s="51"/>
      <c r="F147" s="51"/>
      <c r="H147" s="51" t="s">
        <v>11</v>
      </c>
      <c r="I147" s="51" t="s">
        <v>13</v>
      </c>
      <c r="J147" s="51"/>
      <c r="K147" s="51"/>
      <c r="L147" s="51"/>
      <c r="N147" s="27"/>
      <c r="O147" s="27"/>
      <c r="P147" s="27"/>
      <c r="Q147" s="27"/>
      <c r="R147" s="27"/>
      <c r="S147" s="27"/>
      <c r="T147" s="27"/>
      <c r="U147" s="27"/>
      <c r="V147" s="27"/>
    </row>
    <row r="148" spans="2:22" ht="9.75">
      <c r="B148" s="51"/>
      <c r="C148" s="8" t="s">
        <v>44</v>
      </c>
      <c r="D148" s="8" t="s">
        <v>14</v>
      </c>
      <c r="E148" s="8" t="s">
        <v>15</v>
      </c>
      <c r="F148" s="8" t="s">
        <v>16</v>
      </c>
      <c r="H148" s="51"/>
      <c r="I148" s="8" t="s">
        <v>44</v>
      </c>
      <c r="J148" s="8" t="s">
        <v>14</v>
      </c>
      <c r="K148" s="8" t="s">
        <v>15</v>
      </c>
      <c r="L148" s="8" t="s">
        <v>16</v>
      </c>
      <c r="N148" s="52" t="s">
        <v>17</v>
      </c>
      <c r="O148" s="52"/>
      <c r="P148" s="52"/>
      <c r="Q148" s="52"/>
      <c r="R148" s="52"/>
      <c r="S148" s="52"/>
      <c r="T148" s="52"/>
      <c r="U148" s="52"/>
      <c r="V148" s="52"/>
    </row>
    <row r="149" spans="2:22" ht="9.75">
      <c r="B149" s="5" t="s">
        <v>18</v>
      </c>
      <c r="C149" s="21">
        <f>('1998-99'!$J$5-'1998-99'!$C$5)/'1998-99'!$C$5</f>
        <v>0.20889348500517066</v>
      </c>
      <c r="D149" s="21">
        <f>('1998-99'!$K$5-'1998-99'!$D$5)/'1998-99'!$D$5</f>
        <v>0.24926686217008798</v>
      </c>
      <c r="E149" s="21">
        <f>('1998-99'!$L$5-'1998-99'!$E$5)/'1998-99'!$E$5</f>
        <v>0.2697247706422019</v>
      </c>
      <c r="F149" s="21">
        <f>('1998-99'!M5-'1998-99'!F5)/'1998-99'!F5</f>
        <v>0.2882882882882884</v>
      </c>
      <c r="H149" s="5" t="s">
        <v>18</v>
      </c>
      <c r="I149" s="20">
        <f>702+124</f>
        <v>826</v>
      </c>
      <c r="J149" s="20">
        <f>297+159</f>
        <v>456</v>
      </c>
      <c r="K149" s="20">
        <f>287+198</f>
        <v>485</v>
      </c>
      <c r="L149" s="20">
        <v>11</v>
      </c>
      <c r="N149" s="27">
        <f>I149*'1998-99'!C5</f>
        <v>79874.2</v>
      </c>
      <c r="O149" s="27">
        <f>J149*'1998-99'!D5</f>
        <v>31099.2</v>
      </c>
      <c r="P149" s="27">
        <f>K149*'1998-99'!E5</f>
        <v>26432.5</v>
      </c>
      <c r="Q149" s="27">
        <f>L149*'1998-99'!F5</f>
        <v>488.4</v>
      </c>
      <c r="R149" s="27"/>
      <c r="S149" s="27">
        <f>I149*'1998-99'!J5</f>
        <v>96559.40000000001</v>
      </c>
      <c r="T149" s="27">
        <f>J149*'1998-99'!K5</f>
        <v>38851.200000000004</v>
      </c>
      <c r="U149" s="27">
        <f>K149*'1998-99'!L5</f>
        <v>33562</v>
      </c>
      <c r="V149" s="27">
        <f>L149*'1998-99'!M5</f>
        <v>629.2</v>
      </c>
    </row>
    <row r="150" spans="2:22" ht="9.75">
      <c r="B150" s="5" t="s">
        <v>51</v>
      </c>
      <c r="C150" s="21">
        <f>('1998-99'!$J$6-'1998-99'!$C$6)/'1998-99'!$C$6</f>
        <v>0.26645435244161353</v>
      </c>
      <c r="D150" s="21">
        <f>('1998-99'!$K$6-'1998-99'!$D$6)/'1998-99'!$D$6</f>
        <v>0.28363047001620745</v>
      </c>
      <c r="E150" s="21">
        <f>('1998-99'!$L$6-'1998-99'!$E$6)/'1998-99'!$E$6</f>
        <v>0.2823529411764707</v>
      </c>
      <c r="F150" s="21" t="s">
        <v>52</v>
      </c>
      <c r="H150" s="5" t="s">
        <v>51</v>
      </c>
      <c r="I150" s="20">
        <f>343+66</f>
        <v>409</v>
      </c>
      <c r="J150" s="20">
        <f>114+52</f>
        <v>166</v>
      </c>
      <c r="K150" s="20">
        <f>70+47</f>
        <v>117</v>
      </c>
      <c r="L150" s="20">
        <v>0</v>
      </c>
      <c r="N150" s="27">
        <f>I150*'1998-99'!C6</f>
        <v>38527.8</v>
      </c>
      <c r="O150" s="27">
        <f>J150*'1998-99'!D6</f>
        <v>10242.2</v>
      </c>
      <c r="P150" s="27">
        <f>K150*'1998-99'!E6</f>
        <v>5967</v>
      </c>
      <c r="Q150" s="27">
        <v>0</v>
      </c>
      <c r="R150" s="27"/>
      <c r="S150" s="27">
        <f>I150*'1998-99'!J6</f>
        <v>48793.7</v>
      </c>
      <c r="T150" s="27">
        <f>J150*'1998-99'!K6</f>
        <v>13147.2</v>
      </c>
      <c r="U150" s="27">
        <f>K150*'1998-99'!L6</f>
        <v>7651.800000000001</v>
      </c>
      <c r="V150" s="27">
        <v>0</v>
      </c>
    </row>
    <row r="151" spans="2:22" ht="9.75">
      <c r="B151" s="5" t="s">
        <v>19</v>
      </c>
      <c r="C151" s="21">
        <f>('1998-99'!$J$7-'1998-99'!$C$7)/'1998-99'!$C$7</f>
        <v>0.21658031088082907</v>
      </c>
      <c r="D151" s="21">
        <f>('1998-99'!$K$7-'1998-99'!$D$7)/'1998-99'!$D$7</f>
        <v>0.256923076923077</v>
      </c>
      <c r="E151" s="21">
        <f>('1998-99'!$L$7-'1998-99'!$E$7)/'1998-99'!$E$7</f>
        <v>0.26171874999999983</v>
      </c>
      <c r="F151" s="21">
        <f>('1998-99'!M7-'1998-99'!F7)/'1998-99'!F7</f>
        <v>0.2642487046632123</v>
      </c>
      <c r="H151" s="5" t="s">
        <v>19</v>
      </c>
      <c r="I151" s="20">
        <f>407+53</f>
        <v>460</v>
      </c>
      <c r="J151" s="20">
        <f>193+72</f>
        <v>265</v>
      </c>
      <c r="K151" s="20">
        <f>101+107</f>
        <v>208</v>
      </c>
      <c r="L151" s="20">
        <v>19</v>
      </c>
      <c r="N151" s="27">
        <f>I151*'1998-99'!C7</f>
        <v>44390</v>
      </c>
      <c r="O151" s="27">
        <f>J151*'1998-99'!D7</f>
        <v>17225</v>
      </c>
      <c r="P151" s="27">
        <f>K151*'1998-99'!E7</f>
        <v>10649.6</v>
      </c>
      <c r="Q151" s="27">
        <f>L151*'1998-99'!F7</f>
        <v>733.4</v>
      </c>
      <c r="R151" s="27"/>
      <c r="S151" s="27">
        <f>I151*'1998-99'!J7</f>
        <v>54004</v>
      </c>
      <c r="T151" s="27">
        <f>J151*'1998-99'!K7</f>
        <v>21650.5</v>
      </c>
      <c r="U151" s="27">
        <f>K151*'1998-99'!L7</f>
        <v>13436.8</v>
      </c>
      <c r="V151" s="27">
        <f>L151*'1998-99'!M7</f>
        <v>927.1999999999999</v>
      </c>
    </row>
    <row r="152" spans="2:22" ht="9.75">
      <c r="B152" s="5" t="s">
        <v>20</v>
      </c>
      <c r="C152" s="21">
        <f>('1998-99'!$J$8-'1998-99'!$C$8)/'1998-99'!$C$8</f>
        <v>0.24260355029585798</v>
      </c>
      <c r="D152" s="21">
        <f>('1998-99'!$K$8-'1998-99'!$D$8)/'1998-99'!$D$8</f>
        <v>0.26896551724137924</v>
      </c>
      <c r="E152" s="21">
        <f>('1998-99'!$L$8-'1998-99'!$E$8)/'1998-99'!$E$8</f>
        <v>0.28194726166328615</v>
      </c>
      <c r="F152" s="21" t="s">
        <v>52</v>
      </c>
      <c r="H152" s="5" t="s">
        <v>20</v>
      </c>
      <c r="I152" s="6">
        <f>407+67</f>
        <v>474</v>
      </c>
      <c r="J152" s="6">
        <f>204+130</f>
        <v>334</v>
      </c>
      <c r="K152" s="6">
        <f>116+104</f>
        <v>220</v>
      </c>
      <c r="L152" s="6">
        <v>0</v>
      </c>
      <c r="N152" s="27">
        <f>I152*'1998-99'!C8</f>
        <v>40053</v>
      </c>
      <c r="O152" s="27">
        <f>J152*'1998-99'!D8</f>
        <v>19372</v>
      </c>
      <c r="P152" s="27">
        <f>K152*'1998-99'!E8</f>
        <v>10846</v>
      </c>
      <c r="Q152" s="27">
        <v>0</v>
      </c>
      <c r="R152" s="27"/>
      <c r="S152" s="27">
        <f>I152*'1998-99'!J8</f>
        <v>49770</v>
      </c>
      <c r="T152" s="27">
        <f>J152*'1998-99'!K8</f>
        <v>24582.399999999998</v>
      </c>
      <c r="U152" s="27">
        <f>K152*'1998-99'!L8</f>
        <v>13904</v>
      </c>
      <c r="V152" s="27">
        <v>0</v>
      </c>
    </row>
    <row r="153" spans="2:22" ht="9.75">
      <c r="B153" s="5" t="s">
        <v>21</v>
      </c>
      <c r="C153" s="21">
        <f>('1998-99'!$J$9-'1998-99'!$C$9)/'1998-99'!$C$9</f>
        <v>0.18038331454340473</v>
      </c>
      <c r="D153" s="21">
        <f>('1998-99'!$K$9-'1998-99'!$D$9)/'1998-99'!$D$9</f>
        <v>0.19631901840490792</v>
      </c>
      <c r="E153" s="21">
        <f>('1998-99'!$L$9-'1998-99'!$E$9)/'1998-99'!$E$9</f>
        <v>0.19921874999999992</v>
      </c>
      <c r="F153" s="21">
        <f>('1998-99'!M9-'1998-99'!F9)/'1998-99'!F9</f>
        <v>0.20833333333333331</v>
      </c>
      <c r="H153" s="5" t="s">
        <v>21</v>
      </c>
      <c r="I153" s="20">
        <f>470+106</f>
        <v>576</v>
      </c>
      <c r="J153" s="20">
        <f>191+97</f>
        <v>288</v>
      </c>
      <c r="K153" s="20">
        <f>139+116</f>
        <v>255</v>
      </c>
      <c r="L153" s="20">
        <v>8</v>
      </c>
      <c r="N153" s="27">
        <f>I153*'1998-99'!C9</f>
        <v>51091.200000000004</v>
      </c>
      <c r="O153" s="27">
        <f>J153*'1998-99'!D9</f>
        <v>18777.600000000002</v>
      </c>
      <c r="P153" s="27">
        <f>K153*'1998-99'!E9</f>
        <v>13056</v>
      </c>
      <c r="Q153" s="27">
        <f>L153*'1998-99'!F9</f>
        <v>364.8</v>
      </c>
      <c r="R153" s="27"/>
      <c r="S153" s="27">
        <f>I153*'1998-99'!J9</f>
        <v>60307.200000000004</v>
      </c>
      <c r="T153" s="27">
        <f>J153*'1998-99'!K9</f>
        <v>22464</v>
      </c>
      <c r="U153" s="27">
        <f>K153*'1998-99'!L9</f>
        <v>15657</v>
      </c>
      <c r="V153" s="27">
        <f>L153*'1998-99'!M9</f>
        <v>440.8</v>
      </c>
    </row>
    <row r="154" spans="2:22" ht="9.75">
      <c r="B154" s="5" t="s">
        <v>22</v>
      </c>
      <c r="C154" s="21">
        <f>('1998-99'!$J$10-'1998-99'!$C$10)/'1998-99'!$C$10</f>
        <v>0.21410891089108908</v>
      </c>
      <c r="D154" s="21">
        <f>('1998-99'!$K$10-'1998-99'!$D$10)/'1998-99'!$D$10</f>
        <v>0.2685512367491165</v>
      </c>
      <c r="E154" s="21">
        <f>('1998-99'!$L$10-'1998-99'!$E$10)/'1998-99'!$E$10</f>
        <v>0.24183006535947715</v>
      </c>
      <c r="F154" s="21" t="s">
        <v>52</v>
      </c>
      <c r="H154" s="5" t="s">
        <v>22</v>
      </c>
      <c r="I154" s="20">
        <f>493+108</f>
        <v>601</v>
      </c>
      <c r="J154" s="20">
        <f>236+107</f>
        <v>343</v>
      </c>
      <c r="K154" s="20">
        <f>192+128</f>
        <v>320</v>
      </c>
      <c r="L154" s="20">
        <v>0</v>
      </c>
      <c r="N154" s="27">
        <f>I154*'1998-99'!C10</f>
        <v>48560.799999999996</v>
      </c>
      <c r="O154" s="27">
        <f>J154*'1998-99'!D10</f>
        <v>19413.8</v>
      </c>
      <c r="P154" s="27">
        <f>K154*'1998-99'!E10</f>
        <v>14688</v>
      </c>
      <c r="Q154" s="27">
        <v>0</v>
      </c>
      <c r="R154" s="27"/>
      <c r="S154" s="27">
        <f>I154*'1998-99'!J10</f>
        <v>58958.1</v>
      </c>
      <c r="T154" s="27">
        <f>J154*'1998-99'!K10</f>
        <v>24627.399999999998</v>
      </c>
      <c r="U154" s="27">
        <f>K154*'1998-99'!L10</f>
        <v>18240</v>
      </c>
      <c r="V154" s="27">
        <v>0</v>
      </c>
    </row>
    <row r="155" spans="2:22" ht="9.75">
      <c r="B155" s="5" t="s">
        <v>23</v>
      </c>
      <c r="C155" s="21">
        <f>('1998-99'!$J$11-'1998-99'!$C$11)/'1998-99'!$C$11</f>
        <v>0.21132075471698109</v>
      </c>
      <c r="D155" s="21">
        <f>('1998-99'!$K$11-'1998-99'!$D$11)/'1998-99'!$D$11</f>
        <v>0.2303664921465969</v>
      </c>
      <c r="E155" s="21">
        <f>('1998-99'!$L$11-'1998-99'!$E$11)/'1998-99'!$E$11</f>
        <v>0.22614107883817422</v>
      </c>
      <c r="F155" s="21">
        <f>('1998-99'!M11-'1998-99'!F11)/'1998-99'!F11</f>
        <v>0.21614583333333345</v>
      </c>
      <c r="H155" s="5" t="s">
        <v>23</v>
      </c>
      <c r="I155" s="20">
        <f>403+61</f>
        <v>464</v>
      </c>
      <c r="J155" s="20">
        <f>215+102</f>
        <v>317</v>
      </c>
      <c r="K155" s="20">
        <f>122+88</f>
        <v>210</v>
      </c>
      <c r="L155" s="20">
        <f>58+45</f>
        <v>103</v>
      </c>
      <c r="N155" s="27">
        <f>I155*'1998-99'!C11</f>
        <v>36888</v>
      </c>
      <c r="O155" s="27">
        <f>J155*'1998-99'!D11</f>
        <v>18164.1</v>
      </c>
      <c r="P155" s="27">
        <f>K155*'1998-99'!E11</f>
        <v>10122</v>
      </c>
      <c r="Q155" s="27">
        <f>L155*'1998-99'!F11</f>
        <v>3955.2</v>
      </c>
      <c r="R155" s="27"/>
      <c r="S155" s="27">
        <f>I155*'1998-99'!J11</f>
        <v>44683.2</v>
      </c>
      <c r="T155" s="27">
        <f>J155*'1998-99'!K11</f>
        <v>22348.5</v>
      </c>
      <c r="U155" s="27">
        <f>K155*'1998-99'!L11</f>
        <v>12411</v>
      </c>
      <c r="V155" s="27">
        <f>L155*'1998-99'!M11</f>
        <v>4810.1</v>
      </c>
    </row>
    <row r="156" spans="2:22" ht="9.75">
      <c r="B156" s="5" t="s">
        <v>24</v>
      </c>
      <c r="C156" s="21">
        <f>('1998-99'!$J$12-'1998-99'!$C$12)/'1998-99'!$C$12</f>
        <v>0.21560846560846578</v>
      </c>
      <c r="D156" s="21">
        <f>('1998-99'!$K$12-'1998-99'!$D$12)/'1998-99'!$D$12</f>
        <v>0.18148820326678752</v>
      </c>
      <c r="E156" s="21">
        <f>('1998-99'!$L$12-'1998-99'!$E$12)/'1998-99'!$E$12</f>
        <v>0.19542619542619538</v>
      </c>
      <c r="F156" s="21">
        <f>('1998-99'!M12-'1998-99'!F12)/'1998-99'!F12</f>
        <v>0.20833333333333334</v>
      </c>
      <c r="H156" s="5" t="s">
        <v>24</v>
      </c>
      <c r="I156" s="20">
        <f>745+143</f>
        <v>888</v>
      </c>
      <c r="J156" s="20">
        <f>280+148</f>
        <v>428</v>
      </c>
      <c r="K156" s="20">
        <f>188+145</f>
        <v>333</v>
      </c>
      <c r="L156" s="20">
        <f>74+6</f>
        <v>80</v>
      </c>
      <c r="N156" s="27">
        <f>I156*'1998-99'!C12</f>
        <v>67132.79999999999</v>
      </c>
      <c r="O156" s="27">
        <f>J156*'1998-99'!D12</f>
        <v>23582.8</v>
      </c>
      <c r="P156" s="27">
        <f>K156*'1998-99'!E12</f>
        <v>16017.300000000001</v>
      </c>
      <c r="Q156" s="27">
        <f>L156*'1998-99'!F12</f>
        <v>3264</v>
      </c>
      <c r="R156" s="27"/>
      <c r="S156" s="27">
        <f>I156*'1998-99'!J12</f>
        <v>81607.20000000001</v>
      </c>
      <c r="T156" s="27">
        <f>J156*'1998-99'!K12</f>
        <v>27862.8</v>
      </c>
      <c r="U156" s="27">
        <f>K156*'1998-99'!L12</f>
        <v>19147.5</v>
      </c>
      <c r="V156" s="27">
        <f>L156*'1998-99'!M12</f>
        <v>3944</v>
      </c>
    </row>
    <row r="157" spans="2:22" ht="9.75">
      <c r="B157" s="5"/>
      <c r="I157" s="20"/>
      <c r="J157" s="20"/>
      <c r="K157" s="20"/>
      <c r="L157" s="20"/>
      <c r="N157" s="27"/>
      <c r="O157" s="27"/>
      <c r="P157" s="27"/>
      <c r="Q157" s="27"/>
      <c r="R157" s="27"/>
      <c r="S157" s="27"/>
      <c r="T157" s="27"/>
      <c r="U157" s="27"/>
      <c r="V157" s="27"/>
    </row>
    <row r="158" spans="2:22" ht="9.75">
      <c r="B158" s="5" t="s">
        <v>59</v>
      </c>
      <c r="C158" s="21">
        <f>('1998-99'!$J$14-'1998-99'!$C$14)/'1998-99'!$C$14</f>
        <v>0.21981335247666908</v>
      </c>
      <c r="D158" s="21">
        <f>('1998-99'!$K$14-'1998-99'!$D$14)/'1998-99'!$D$14</f>
        <v>0.24225005132416327</v>
      </c>
      <c r="E158" s="21">
        <f>('1998-99'!$L$14-'1998-99'!$E$14)/'1998-99'!$E$14</f>
        <v>0.24536805207811732</v>
      </c>
      <c r="F158" s="21">
        <f>('1998-99'!$M$14-'1998-99'!$F$14)/'1998-99'!$F$14</f>
        <v>0.23724735322425405</v>
      </c>
      <c r="H158" s="5" t="s">
        <v>25</v>
      </c>
      <c r="I158" s="20">
        <f>SUM(I149:I157)</f>
        <v>4698</v>
      </c>
      <c r="J158" s="20">
        <f>SUM(J149:J157)</f>
        <v>2597</v>
      </c>
      <c r="K158" s="20">
        <f>SUM(K149:K157)</f>
        <v>2148</v>
      </c>
      <c r="L158" s="20">
        <f>SUM(L149:L157)</f>
        <v>221</v>
      </c>
      <c r="N158" s="27"/>
      <c r="O158" s="27"/>
      <c r="P158" s="27"/>
      <c r="Q158" s="27"/>
      <c r="R158" s="27"/>
      <c r="S158" s="27"/>
      <c r="T158" s="27"/>
      <c r="U158" s="27"/>
      <c r="V158" s="27"/>
    </row>
    <row r="159" spans="2:22" ht="9.75">
      <c r="B159" s="5"/>
      <c r="I159" s="20"/>
      <c r="J159" s="20"/>
      <c r="K159" s="20"/>
      <c r="L159" s="20"/>
      <c r="N159" s="27"/>
      <c r="O159" s="27"/>
      <c r="P159" s="27"/>
      <c r="Q159" s="27"/>
      <c r="R159" s="27"/>
      <c r="S159" s="27"/>
      <c r="T159" s="27"/>
      <c r="U159" s="27"/>
      <c r="V159" s="27"/>
    </row>
    <row r="160" spans="2:22" ht="9.75">
      <c r="B160" s="5" t="s">
        <v>26</v>
      </c>
      <c r="C160" s="21">
        <f>('1998-99'!$J$17-'1998-99'!$C$17)/'1998-99'!$C$17</f>
        <v>0.2359050445103856</v>
      </c>
      <c r="D160" s="21">
        <f>('1998-99'!$K$17-'1998-99'!$D$17)/'1998-99'!$D$17</f>
        <v>0.25799999999999995</v>
      </c>
      <c r="E160" s="21">
        <f>('1998-99'!$L$17-'1998-99'!$E$17)/'1998-99'!$E$17</f>
        <v>0.21348314606741572</v>
      </c>
      <c r="F160" s="21">
        <f>('1998-99'!$M$17-'1998-99'!$F$17)/'1998-99'!$F$17</f>
        <v>0.3263473053892215</v>
      </c>
      <c r="H160" s="5" t="s">
        <v>26</v>
      </c>
      <c r="I160" s="20">
        <f>170+45</f>
        <v>215</v>
      </c>
      <c r="J160" s="20">
        <f>119+71</f>
        <v>190</v>
      </c>
      <c r="K160" s="20">
        <f>81+64</f>
        <v>145</v>
      </c>
      <c r="L160" s="20">
        <f>35+35</f>
        <v>70</v>
      </c>
      <c r="N160" s="27">
        <f>SUM(N149:N159)</f>
        <v>406517.8</v>
      </c>
      <c r="O160" s="27">
        <f>SUM(O149:O159)</f>
        <v>157876.69999999998</v>
      </c>
      <c r="P160" s="27">
        <f>SUM(P149:P159)</f>
        <v>107778.40000000001</v>
      </c>
      <c r="Q160" s="27">
        <f>SUM(Q149:Q159)</f>
        <v>8805.8</v>
      </c>
      <c r="R160" s="27"/>
      <c r="S160" s="27">
        <f>SUM(S149:S159)</f>
        <v>494682.8</v>
      </c>
      <c r="T160" s="27">
        <f>SUM(T149:T159)</f>
        <v>195534</v>
      </c>
      <c r="U160" s="27">
        <f>SUM(U149:U159)</f>
        <v>134010.1</v>
      </c>
      <c r="V160" s="27">
        <f>SUM(V149:V159)</f>
        <v>10751.3</v>
      </c>
    </row>
    <row r="161" spans="14:22" ht="9.75">
      <c r="N161" s="27"/>
      <c r="O161" s="27"/>
      <c r="P161" s="27"/>
      <c r="Q161" s="27"/>
      <c r="R161" s="27"/>
      <c r="S161" s="27"/>
      <c r="T161" s="27"/>
      <c r="U161" s="27"/>
      <c r="V161" s="27"/>
    </row>
    <row r="162" spans="2:22" ht="10.5" thickBot="1">
      <c r="B162" s="50" t="s">
        <v>8</v>
      </c>
      <c r="C162" s="50"/>
      <c r="D162" s="50"/>
      <c r="E162" s="50"/>
      <c r="F162" s="50"/>
      <c r="G162" s="50"/>
      <c r="H162" s="50"/>
      <c r="I162" s="50"/>
      <c r="J162" s="50"/>
      <c r="K162" s="50"/>
      <c r="L162" s="50"/>
      <c r="N162" s="27"/>
      <c r="O162" s="27"/>
      <c r="P162" s="27"/>
      <c r="Q162" s="27"/>
      <c r="R162" s="27"/>
      <c r="S162" s="27"/>
      <c r="T162" s="27"/>
      <c r="U162" s="27"/>
      <c r="V162" s="27"/>
    </row>
    <row r="163" spans="2:22" ht="9.75">
      <c r="B163" s="51" t="s">
        <v>11</v>
      </c>
      <c r="C163" s="51" t="s">
        <v>12</v>
      </c>
      <c r="D163" s="51"/>
      <c r="E163" s="51"/>
      <c r="F163" s="51"/>
      <c r="H163" s="51" t="s">
        <v>11</v>
      </c>
      <c r="I163" s="51" t="s">
        <v>13</v>
      </c>
      <c r="J163" s="51"/>
      <c r="K163" s="51"/>
      <c r="L163" s="51"/>
      <c r="N163" s="27"/>
      <c r="O163" s="27"/>
      <c r="P163" s="27"/>
      <c r="Q163" s="27"/>
      <c r="R163" s="27"/>
      <c r="S163" s="27"/>
      <c r="T163" s="27"/>
      <c r="U163" s="27"/>
      <c r="V163" s="27"/>
    </row>
    <row r="164" spans="2:22" ht="9.75">
      <c r="B164" s="51"/>
      <c r="C164" s="8" t="s">
        <v>44</v>
      </c>
      <c r="D164" s="8" t="s">
        <v>14</v>
      </c>
      <c r="E164" s="8" t="s">
        <v>15</v>
      </c>
      <c r="F164" s="8" t="s">
        <v>16</v>
      </c>
      <c r="H164" s="51"/>
      <c r="I164" s="8" t="s">
        <v>44</v>
      </c>
      <c r="J164" s="8" t="s">
        <v>14</v>
      </c>
      <c r="K164" s="8" t="s">
        <v>15</v>
      </c>
      <c r="L164" s="8" t="s">
        <v>16</v>
      </c>
      <c r="N164" s="52" t="s">
        <v>17</v>
      </c>
      <c r="O164" s="52"/>
      <c r="P164" s="52"/>
      <c r="Q164" s="52"/>
      <c r="R164" s="52"/>
      <c r="S164" s="52"/>
      <c r="T164" s="52"/>
      <c r="U164" s="52"/>
      <c r="V164" s="52"/>
    </row>
    <row r="165" spans="2:22" ht="9.75">
      <c r="B165" s="5" t="s">
        <v>18</v>
      </c>
      <c r="C165" s="21">
        <f>('1997-98'!$J$5-'1997-98'!$C$5)/'1997-98'!$C$5</f>
        <v>0.20892274211099007</v>
      </c>
      <c r="D165" s="21">
        <f>('1997-98'!$K$5-'1997-98'!$D$5)/'1997-98'!$D$5</f>
        <v>0.24734446130500753</v>
      </c>
      <c r="E165" s="21">
        <f>('1997-98'!$L$5-'1997-98'!$E$5)/'1997-98'!$E$5</f>
        <v>0.26792452830188684</v>
      </c>
      <c r="F165" s="21">
        <f>('1997-98'!M5-'1997-98'!F5)/'1997-98'!F5</f>
        <v>0.2907801418439718</v>
      </c>
      <c r="H165" s="5" t="s">
        <v>18</v>
      </c>
      <c r="I165" s="20">
        <f>718+117</f>
        <v>835</v>
      </c>
      <c r="J165" s="20">
        <f>314+149</f>
        <v>463</v>
      </c>
      <c r="K165" s="20">
        <f>260+188</f>
        <v>448</v>
      </c>
      <c r="L165" s="20">
        <v>14</v>
      </c>
      <c r="N165" s="27">
        <f>I165*'1997-98'!C5</f>
        <v>76736.5</v>
      </c>
      <c r="O165" s="27">
        <f>J165*'1997-98'!D5</f>
        <v>30511.700000000004</v>
      </c>
      <c r="P165" s="27">
        <f>K165*'1997-98'!E5</f>
        <v>23744</v>
      </c>
      <c r="Q165" s="27">
        <f>L165*'1997-98'!F5</f>
        <v>592.1999999999999</v>
      </c>
      <c r="R165" s="27"/>
      <c r="S165" s="27">
        <f>I165*'1997-98'!J5</f>
        <v>92768.5</v>
      </c>
      <c r="T165" s="27">
        <f>J165*'1997-98'!K5</f>
        <v>38058.6</v>
      </c>
      <c r="U165" s="27">
        <f>K165*'1997-98'!L5</f>
        <v>30105.600000000002</v>
      </c>
      <c r="V165" s="27">
        <f>L165*'1997-98'!M5</f>
        <v>764.4</v>
      </c>
    </row>
    <row r="166" spans="2:22" ht="9.75">
      <c r="B166" s="5" t="s">
        <v>51</v>
      </c>
      <c r="C166" s="21">
        <f>('1997-98'!$J$6-'1997-98'!$C$6)/'1997-98'!$C$6</f>
        <v>0.2714617169373549</v>
      </c>
      <c r="D166" s="21">
        <f>('1997-98'!$K$6-'1997-98'!$D$6)/'1997-98'!$D$6</f>
        <v>0.28647686832740205</v>
      </c>
      <c r="E166" s="21">
        <f>('1997-98'!$L$6-'1997-98'!$E$6)/'1997-98'!$E$6</f>
        <v>0.2881355932203388</v>
      </c>
      <c r="F166" s="21" t="s">
        <v>52</v>
      </c>
      <c r="H166" s="5" t="s">
        <v>51</v>
      </c>
      <c r="I166" s="20">
        <f>315+58</f>
        <v>373</v>
      </c>
      <c r="J166" s="20">
        <f>115+54</f>
        <v>169</v>
      </c>
      <c r="K166" s="20">
        <f>70+48</f>
        <v>118</v>
      </c>
      <c r="L166" s="20">
        <v>0</v>
      </c>
      <c r="N166" s="27">
        <f>I166*'1997-98'!C6</f>
        <v>32152.600000000002</v>
      </c>
      <c r="O166" s="27">
        <f>J166*'1997-98'!D6</f>
        <v>9497.800000000001</v>
      </c>
      <c r="P166" s="27">
        <f>K166*'1997-98'!E6</f>
        <v>5569.6</v>
      </c>
      <c r="Q166" s="27">
        <v>0</v>
      </c>
      <c r="R166" s="27"/>
      <c r="S166" s="27">
        <f>I166*'1997-98'!J6</f>
        <v>40880.799999999996</v>
      </c>
      <c r="T166" s="27">
        <f>J166*'1997-98'!K6</f>
        <v>12218.699999999999</v>
      </c>
      <c r="U166" s="27">
        <f>K166*'1997-98'!L6</f>
        <v>7174.4</v>
      </c>
      <c r="V166" s="27">
        <v>0</v>
      </c>
    </row>
    <row r="167" spans="2:22" ht="9.75">
      <c r="B167" s="5" t="s">
        <v>19</v>
      </c>
      <c r="C167" s="21">
        <f>('1997-98'!$J$7-'1997-98'!$C$7)/'1997-98'!$C$7</f>
        <v>0.2057205720572056</v>
      </c>
      <c r="D167" s="21">
        <f>('1997-98'!$K$7-'1997-98'!$D$7)/'1997-98'!$D$7</f>
        <v>0.24469820554649266</v>
      </c>
      <c r="E167" s="21">
        <f>('1997-98'!$L$7-'1997-98'!$E$7)/'1997-98'!$E$7</f>
        <v>0.24744376278118613</v>
      </c>
      <c r="F167" s="21">
        <f>('1997-98'!M7-'1997-98'!F7)/'1997-98'!F7</f>
        <v>0.23415977961432508</v>
      </c>
      <c r="H167" s="5" t="s">
        <v>19</v>
      </c>
      <c r="I167" s="20">
        <f>413+54</f>
        <v>467</v>
      </c>
      <c r="J167" s="20">
        <f>189+54</f>
        <v>243</v>
      </c>
      <c r="K167" s="20">
        <f>111+108</f>
        <v>219</v>
      </c>
      <c r="L167" s="20">
        <v>22</v>
      </c>
      <c r="N167" s="27">
        <f>I167*'1997-98'!C7</f>
        <v>42450.3</v>
      </c>
      <c r="O167" s="27">
        <f>J167*'1997-98'!D7</f>
        <v>14895.9</v>
      </c>
      <c r="P167" s="27">
        <f>K167*'1997-98'!E7</f>
        <v>10709.1</v>
      </c>
      <c r="Q167" s="27">
        <f>L167*'1997-98'!F7</f>
        <v>798.5999999999999</v>
      </c>
      <c r="R167" s="27"/>
      <c r="S167" s="27">
        <f>I167*'1997-98'!J7</f>
        <v>51183.2</v>
      </c>
      <c r="T167" s="27">
        <f>J167*'1997-98'!K7</f>
        <v>18540.899999999998</v>
      </c>
      <c r="U167" s="27">
        <f>K167*'1997-98'!L7</f>
        <v>13359</v>
      </c>
      <c r="V167" s="27">
        <f>L167*'1997-98'!M7</f>
        <v>985.5999999999999</v>
      </c>
    </row>
    <row r="168" spans="2:22" ht="9.75">
      <c r="B168" s="5" t="s">
        <v>20</v>
      </c>
      <c r="C168" s="21">
        <f>('1997-98'!$J$8-'1997-98'!$C$8)/'1997-98'!$C$8</f>
        <v>0.2292441140024783</v>
      </c>
      <c r="D168" s="21">
        <f>('1997-98'!$K$8-'1997-98'!$D$8)/'1997-98'!$D$8</f>
        <v>0.25939177101967814</v>
      </c>
      <c r="E168" s="21">
        <f>('1997-98'!$L$8-'1997-98'!$E$8)/'1997-98'!$E$8</f>
        <v>0.26859504132231404</v>
      </c>
      <c r="F168" s="21">
        <f>('1997-98'!M8-'1997-98'!F8)/'1997-98'!F8</f>
        <v>0.2802056555269923</v>
      </c>
      <c r="H168" s="5" t="s">
        <v>20</v>
      </c>
      <c r="I168" s="6">
        <f>416+66</f>
        <v>482</v>
      </c>
      <c r="J168" s="6">
        <f>212+129</f>
        <v>341</v>
      </c>
      <c r="K168" s="6">
        <f>104+84</f>
        <v>188</v>
      </c>
      <c r="L168" s="6">
        <v>13</v>
      </c>
      <c r="N168" s="27">
        <f>I168*'1997-98'!C8</f>
        <v>38897.4</v>
      </c>
      <c r="O168" s="27">
        <f>J168*'1997-98'!D8</f>
        <v>19061.899999999998</v>
      </c>
      <c r="P168" s="27">
        <f>K168*'1997-98'!E8</f>
        <v>9099.199999999999</v>
      </c>
      <c r="Q168" s="27">
        <f>L168*'1997-98'!F8</f>
        <v>505.7</v>
      </c>
      <c r="R168" s="27"/>
      <c r="S168" s="27">
        <f>I168*'1997-98'!J8</f>
        <v>47814.4</v>
      </c>
      <c r="T168" s="27">
        <f>J168*'1997-98'!K8</f>
        <v>24006.4</v>
      </c>
      <c r="U168" s="27">
        <f>K168*'1997-98'!L8</f>
        <v>11543.199999999999</v>
      </c>
      <c r="V168" s="27">
        <f>L168*'1997-98'!M8</f>
        <v>647.4</v>
      </c>
    </row>
    <row r="169" spans="2:22" ht="9.75">
      <c r="B169" s="5" t="s">
        <v>21</v>
      </c>
      <c r="C169" s="21">
        <f>('1997-98'!$J$9-'1997-98'!$C$9)/'1997-98'!$C$9</f>
        <v>0.18139534883720923</v>
      </c>
      <c r="D169" s="21">
        <f>('1997-98'!$K$9-'1997-98'!$D$9)/'1997-98'!$D$9</f>
        <v>0.197411003236246</v>
      </c>
      <c r="E169" s="21">
        <f>('1997-98'!$L$9-'1997-98'!$E$9)/'1997-98'!$E$9</f>
        <v>0.2032520325203252</v>
      </c>
      <c r="F169" s="21">
        <f>('1997-98'!M9-'1997-98'!F9)/'1997-98'!F9</f>
        <v>0.21794871794871795</v>
      </c>
      <c r="H169" s="5" t="s">
        <v>21</v>
      </c>
      <c r="I169" s="20">
        <f>473+105</f>
        <v>578</v>
      </c>
      <c r="J169" s="20">
        <f>193+95</f>
        <v>288</v>
      </c>
      <c r="K169" s="20">
        <f>128+104</f>
        <v>232</v>
      </c>
      <c r="L169" s="20">
        <v>14</v>
      </c>
      <c r="N169" s="27">
        <f>I169*'1997-98'!C9</f>
        <v>49708</v>
      </c>
      <c r="O169" s="27">
        <f>J169*'1997-98'!D9</f>
        <v>17798.399999999998</v>
      </c>
      <c r="P169" s="27">
        <f>K169*'1997-98'!E9</f>
        <v>11414.400000000001</v>
      </c>
      <c r="Q169" s="27">
        <f>L169*'1997-98'!F9</f>
        <v>546</v>
      </c>
      <c r="R169" s="27"/>
      <c r="S169" s="27">
        <f>I169*'1997-98'!J9</f>
        <v>58724.799999999996</v>
      </c>
      <c r="T169" s="27">
        <f>J169*'1997-98'!K9</f>
        <v>21312</v>
      </c>
      <c r="U169" s="27">
        <f>K169*'1997-98'!L9</f>
        <v>13734.400000000001</v>
      </c>
      <c r="V169" s="27">
        <f>L169*'1997-98'!M9</f>
        <v>665</v>
      </c>
    </row>
    <row r="170" spans="2:22" ht="9.75">
      <c r="B170" s="5" t="s">
        <v>22</v>
      </c>
      <c r="C170" s="21">
        <f>('1997-98'!$J$10-'1997-98'!$C$10)/'1997-98'!$C$10</f>
        <v>0.24418604651162779</v>
      </c>
      <c r="D170" s="21">
        <f>('1997-98'!$K$10-'1997-98'!$D$10)/'1997-98'!$D$10</f>
        <v>0.26752767527675275</v>
      </c>
      <c r="E170" s="21">
        <f>('1997-98'!$L$10-'1997-98'!$E$10)/'1997-98'!$E$10</f>
        <v>0.25688073394495403</v>
      </c>
      <c r="F170" s="21" t="s">
        <v>52</v>
      </c>
      <c r="H170" s="5" t="s">
        <v>22</v>
      </c>
      <c r="I170" s="20">
        <f>498+103</f>
        <v>601</v>
      </c>
      <c r="J170" s="20">
        <f>242+106</f>
        <v>348</v>
      </c>
      <c r="K170" s="20">
        <f>194+133</f>
        <v>327</v>
      </c>
      <c r="L170" s="20">
        <v>0</v>
      </c>
      <c r="N170" s="27">
        <f>I170*'1997-98'!C10</f>
        <v>46517.4</v>
      </c>
      <c r="O170" s="27">
        <f>J170*'1997-98'!D10</f>
        <v>18861.600000000002</v>
      </c>
      <c r="P170" s="27">
        <f>K170*'1997-98'!E10</f>
        <v>14257.2</v>
      </c>
      <c r="Q170" s="27">
        <v>0</v>
      </c>
      <c r="R170" s="27"/>
      <c r="S170" s="27">
        <f>I170*'1997-98'!J10</f>
        <v>57876.299999999996</v>
      </c>
      <c r="T170" s="27">
        <f>J170*'1997-98'!K10</f>
        <v>23907.600000000002</v>
      </c>
      <c r="U170" s="27">
        <f>K170*'1997-98'!L10</f>
        <v>17919.6</v>
      </c>
      <c r="V170" s="27">
        <v>0</v>
      </c>
    </row>
    <row r="171" spans="2:22" ht="9.75">
      <c r="B171" s="5" t="s">
        <v>23</v>
      </c>
      <c r="C171" s="21">
        <f>('1997-98'!$J$11-'1997-98'!$C$11)/'1997-98'!$C$11</f>
        <v>0.2200263504611329</v>
      </c>
      <c r="D171" s="21">
        <f>('1997-98'!$K$11-'1997-98'!$D$11)/'1997-98'!$D$11</f>
        <v>0.23774954627949185</v>
      </c>
      <c r="E171" s="21">
        <f>('1997-98'!$L$11-'1997-98'!$E$11)/'1997-98'!$E$11</f>
        <v>0.23478260869565212</v>
      </c>
      <c r="F171" s="21">
        <f>('1997-98'!M11-'1997-98'!F11)/'1997-98'!F11</f>
        <v>0.24250681198910076</v>
      </c>
      <c r="H171" s="5" t="s">
        <v>23</v>
      </c>
      <c r="I171" s="20">
        <f>411+58</f>
        <v>469</v>
      </c>
      <c r="J171" s="20">
        <f>195+96</f>
        <v>291</v>
      </c>
      <c r="K171" s="20">
        <f>125+80</f>
        <v>205</v>
      </c>
      <c r="L171" s="20">
        <f>51+46</f>
        <v>97</v>
      </c>
      <c r="N171" s="27">
        <f>I171*'1997-98'!C11</f>
        <v>35597.100000000006</v>
      </c>
      <c r="O171" s="27">
        <f>J171*'1997-98'!D11</f>
        <v>16034.1</v>
      </c>
      <c r="P171" s="27">
        <f>K171*'1997-98'!E11</f>
        <v>9430</v>
      </c>
      <c r="Q171" s="27">
        <f>L171*'1997-98'!F11</f>
        <v>3559.9</v>
      </c>
      <c r="R171" s="27"/>
      <c r="S171" s="27">
        <f>I171*'1997-98'!J11</f>
        <v>43429.399999999994</v>
      </c>
      <c r="T171" s="27">
        <f>J171*'1997-98'!K11</f>
        <v>19846.2</v>
      </c>
      <c r="U171" s="27">
        <f>K171*'1997-98'!L11</f>
        <v>11644</v>
      </c>
      <c r="V171" s="27">
        <f>L171*'1997-98'!M11</f>
        <v>4423.2</v>
      </c>
    </row>
    <row r="172" spans="2:22" ht="9.75">
      <c r="B172" s="5" t="s">
        <v>24</v>
      </c>
      <c r="C172" s="21">
        <f>('1997-98'!$J$12-'1997-98'!$C$12)/'1997-98'!$C$12</f>
        <v>0.22602739726027396</v>
      </c>
      <c r="D172" s="21">
        <f>('1997-98'!$K$12-'1997-98'!$D$12)/'1997-98'!$D$12</f>
        <v>0.24196597353497173</v>
      </c>
      <c r="E172" s="21">
        <f>('1997-98'!$L$12-'1997-98'!$E$12)/'1997-98'!$E$12</f>
        <v>0.22268907563025211</v>
      </c>
      <c r="F172" s="21">
        <f>('1997-98'!M12-'1997-98'!F12)/'1997-98'!F12</f>
        <v>0.2727272727272728</v>
      </c>
      <c r="H172" s="5" t="s">
        <v>24</v>
      </c>
      <c r="I172" s="20">
        <f>780+130</f>
        <v>910</v>
      </c>
      <c r="J172" s="20">
        <f>292+136</f>
        <v>428</v>
      </c>
      <c r="K172" s="20">
        <f>162+135</f>
        <v>297</v>
      </c>
      <c r="L172" s="20">
        <v>14</v>
      </c>
      <c r="N172" s="27">
        <f>I172*'1997-98'!C12</f>
        <v>66430</v>
      </c>
      <c r="O172" s="27">
        <f>J172*'1997-98'!D12</f>
        <v>22641.2</v>
      </c>
      <c r="P172" s="27">
        <f>K172*'1997-98'!E12</f>
        <v>14137.2</v>
      </c>
      <c r="Q172" s="27">
        <f>L172*'1997-98'!F12</f>
        <v>446.59999999999997</v>
      </c>
      <c r="R172" s="27"/>
      <c r="S172" s="27">
        <f>I172*'1997-98'!J12</f>
        <v>81445</v>
      </c>
      <c r="T172" s="27">
        <f>J172*'1997-98'!K12</f>
        <v>28119.600000000002</v>
      </c>
      <c r="U172" s="27">
        <f>K172*'1997-98'!L12</f>
        <v>17285.4</v>
      </c>
      <c r="V172" s="27">
        <f>L172*'1997-98'!M12</f>
        <v>568.4</v>
      </c>
    </row>
    <row r="173" spans="2:22" ht="9.75">
      <c r="B173" s="5"/>
      <c r="I173" s="20"/>
      <c r="J173" s="20"/>
      <c r="K173" s="20"/>
      <c r="L173" s="20"/>
      <c r="N173" s="27"/>
      <c r="O173" s="27"/>
      <c r="P173" s="27"/>
      <c r="Q173" s="27"/>
      <c r="R173" s="27"/>
      <c r="S173" s="27"/>
      <c r="T173" s="27"/>
      <c r="U173" s="27"/>
      <c r="V173" s="27"/>
    </row>
    <row r="174" spans="2:22" ht="9.75">
      <c r="B174" s="5" t="s">
        <v>59</v>
      </c>
      <c r="C174" s="21">
        <f>('1997-98'!$J$14-'1997-98'!$C$14)/'1997-98'!$C$14</f>
        <v>0.22280966767371585</v>
      </c>
      <c r="D174" s="21">
        <f>('1997-98'!$K$14-'1997-98'!$D$14)/'1997-98'!$D$14</f>
        <v>0.24714008202028934</v>
      </c>
      <c r="E174" s="21">
        <f>('1997-98'!$L$14-'1997-98'!$E$14)/'1997-98'!$E$14</f>
        <v>0.24876269861943212</v>
      </c>
      <c r="F174" s="21">
        <f>('1997-98'!$M$14-'1997-98'!$F$14)/'1997-98'!$F$14</f>
        <v>0.2567747667703243</v>
      </c>
      <c r="H174" s="5" t="s">
        <v>25</v>
      </c>
      <c r="I174" s="20">
        <f>SUM(I165:I173)</f>
        <v>4715</v>
      </c>
      <c r="J174" s="20">
        <f>SUM(J165:J173)</f>
        <v>2571</v>
      </c>
      <c r="K174" s="20">
        <f>SUM(K165:K173)</f>
        <v>2034</v>
      </c>
      <c r="L174" s="20">
        <f>SUM(L165:L173)</f>
        <v>174</v>
      </c>
      <c r="N174" s="27"/>
      <c r="O174" s="27"/>
      <c r="P174" s="27"/>
      <c r="Q174" s="27"/>
      <c r="R174" s="27"/>
      <c r="S174" s="27"/>
      <c r="T174" s="27"/>
      <c r="U174" s="27"/>
      <c r="V174" s="27"/>
    </row>
    <row r="175" spans="2:22" ht="9.75">
      <c r="B175" s="5"/>
      <c r="I175" s="20"/>
      <c r="J175" s="20"/>
      <c r="K175" s="20"/>
      <c r="L175" s="20"/>
      <c r="N175" s="27"/>
      <c r="O175" s="27"/>
      <c r="P175" s="27"/>
      <c r="Q175" s="27"/>
      <c r="R175" s="27"/>
      <c r="S175" s="27"/>
      <c r="T175" s="27"/>
      <c r="U175" s="27"/>
      <c r="V175" s="27"/>
    </row>
    <row r="176" spans="2:22" ht="9.75">
      <c r="B176" s="5" t="s">
        <v>26</v>
      </c>
      <c r="C176" s="21">
        <f>('1997-98'!$J$17-'1997-98'!$C$17)/'1997-98'!$C$17</f>
        <v>0.2441679626749612</v>
      </c>
      <c r="D176" s="21">
        <f>('1997-98'!$K$17-'1997-98'!$D$17)/'1997-98'!$D$17</f>
        <v>0.24340770791075053</v>
      </c>
      <c r="E176" s="21">
        <f>('1997-98'!$L$17-'1997-98'!$E$17)/'1997-98'!$E$17</f>
        <v>0.2529550827423169</v>
      </c>
      <c r="F176" s="21">
        <f>('1997-98'!$M$17-'1997-98'!$F$17)/'1997-98'!$F$17</f>
        <v>0.3500000000000001</v>
      </c>
      <c r="H176" s="5" t="s">
        <v>26</v>
      </c>
      <c r="I176" s="20">
        <f>177+43</f>
        <v>220</v>
      </c>
      <c r="J176" s="20">
        <f>132+74</f>
        <v>206</v>
      </c>
      <c r="K176" s="20">
        <f>79+65</f>
        <v>144</v>
      </c>
      <c r="L176" s="20">
        <f>42+39</f>
        <v>81</v>
      </c>
      <c r="N176" s="27">
        <f>SUM(N165:N175)</f>
        <v>388489.30000000005</v>
      </c>
      <c r="O176" s="27">
        <f>SUM(O165:O175)</f>
        <v>149302.6</v>
      </c>
      <c r="P176" s="27">
        <f>SUM(P165:P175)</f>
        <v>98360.7</v>
      </c>
      <c r="Q176" s="27">
        <f>SUM(Q165:Q175)</f>
        <v>6449</v>
      </c>
      <c r="R176" s="27"/>
      <c r="S176" s="27">
        <f>SUM(S165:S175)</f>
        <v>474122.4</v>
      </c>
      <c r="T176" s="27">
        <f>SUM(T165:T175)</f>
        <v>186010.00000000003</v>
      </c>
      <c r="U176" s="27">
        <f>SUM(U165:U175)</f>
        <v>122765.6</v>
      </c>
      <c r="V176" s="27">
        <f>SUM(V165:V175)</f>
        <v>8054</v>
      </c>
    </row>
    <row r="177" spans="14:22" ht="9.75">
      <c r="N177" s="27"/>
      <c r="O177" s="27"/>
      <c r="P177" s="27"/>
      <c r="Q177" s="27"/>
      <c r="R177" s="27"/>
      <c r="S177" s="27"/>
      <c r="T177" s="27"/>
      <c r="U177" s="27"/>
      <c r="V177" s="27"/>
    </row>
    <row r="178" spans="2:22" ht="10.5" thickBot="1">
      <c r="B178" s="50" t="s">
        <v>9</v>
      </c>
      <c r="C178" s="50"/>
      <c r="D178" s="50"/>
      <c r="E178" s="50"/>
      <c r="F178" s="50"/>
      <c r="G178" s="50"/>
      <c r="H178" s="50"/>
      <c r="I178" s="50"/>
      <c r="J178" s="50"/>
      <c r="K178" s="50"/>
      <c r="L178" s="50"/>
      <c r="N178" s="27"/>
      <c r="O178" s="27"/>
      <c r="P178" s="27"/>
      <c r="Q178" s="27"/>
      <c r="R178" s="27"/>
      <c r="S178" s="27"/>
      <c r="T178" s="27"/>
      <c r="U178" s="27"/>
      <c r="V178" s="27"/>
    </row>
    <row r="179" spans="2:22" ht="9.75">
      <c r="B179" s="51" t="s">
        <v>11</v>
      </c>
      <c r="C179" s="51" t="s">
        <v>12</v>
      </c>
      <c r="D179" s="51"/>
      <c r="E179" s="51"/>
      <c r="F179" s="51"/>
      <c r="H179" s="51" t="s">
        <v>11</v>
      </c>
      <c r="I179" s="51" t="s">
        <v>13</v>
      </c>
      <c r="J179" s="51"/>
      <c r="K179" s="51"/>
      <c r="L179" s="51"/>
      <c r="N179" s="27"/>
      <c r="O179" s="27"/>
      <c r="P179" s="27"/>
      <c r="Q179" s="27"/>
      <c r="R179" s="27"/>
      <c r="S179" s="27"/>
      <c r="T179" s="27"/>
      <c r="U179" s="27"/>
      <c r="V179" s="27"/>
    </row>
    <row r="180" spans="2:22" ht="9.75">
      <c r="B180" s="51"/>
      <c r="C180" s="8" t="s">
        <v>44</v>
      </c>
      <c r="D180" s="8" t="s">
        <v>14</v>
      </c>
      <c r="E180" s="8" t="s">
        <v>15</v>
      </c>
      <c r="F180" s="8" t="s">
        <v>16</v>
      </c>
      <c r="H180" s="51"/>
      <c r="I180" s="8" t="s">
        <v>44</v>
      </c>
      <c r="J180" s="8" t="s">
        <v>14</v>
      </c>
      <c r="K180" s="8" t="s">
        <v>15</v>
      </c>
      <c r="L180" s="8" t="s">
        <v>16</v>
      </c>
      <c r="N180" s="52" t="s">
        <v>17</v>
      </c>
      <c r="O180" s="52"/>
      <c r="P180" s="52"/>
      <c r="Q180" s="52"/>
      <c r="R180" s="52"/>
      <c r="S180" s="52"/>
      <c r="T180" s="52"/>
      <c r="U180" s="52"/>
      <c r="V180" s="52"/>
    </row>
    <row r="181" spans="2:22" ht="9.75">
      <c r="B181" s="5" t="s">
        <v>18</v>
      </c>
      <c r="C181" s="21">
        <f>('1996-97'!$J$5-'1996-97'!$C$5)/'1996-97'!$C$5</f>
        <v>0.21931818181818177</v>
      </c>
      <c r="D181" s="21">
        <f>('1996-97'!$K$5-'1996-97'!$D$5)/'1996-97'!$D$5</f>
        <v>0.2570977917981073</v>
      </c>
      <c r="E181" s="21">
        <f>('1996-97'!$L$5-'1996-97'!$E$5)/'1996-97'!$E$5</f>
        <v>0.2809430255402751</v>
      </c>
      <c r="F181" s="21">
        <f>('1996-97'!M5-'1996-97'!F5)/'1996-97'!F5</f>
        <v>0.308860759493671</v>
      </c>
      <c r="H181" s="5" t="s">
        <v>18</v>
      </c>
      <c r="I181" s="20">
        <f>732+113</f>
        <v>845</v>
      </c>
      <c r="J181" s="20">
        <f>305+135</f>
        <v>440</v>
      </c>
      <c r="K181" s="20">
        <f>272+188</f>
        <v>460</v>
      </c>
      <c r="L181" s="20">
        <v>11</v>
      </c>
      <c r="N181" s="27">
        <f>I181*'1996-97'!C5</f>
        <v>74360</v>
      </c>
      <c r="O181" s="27">
        <f>J181*'1996-97'!D5</f>
        <v>27896</v>
      </c>
      <c r="P181" s="27">
        <f>K181*'1996-97'!E5</f>
        <v>23414</v>
      </c>
      <c r="Q181" s="27">
        <f>L181*'1996-97'!F5</f>
        <v>434.5</v>
      </c>
      <c r="R181" s="27"/>
      <c r="S181" s="27">
        <f>I181*'1996-97'!J5</f>
        <v>90668.5</v>
      </c>
      <c r="T181" s="27">
        <f>J181*'1996-97'!K5</f>
        <v>35068</v>
      </c>
      <c r="U181" s="27">
        <f>K181*'1996-97'!L5</f>
        <v>29992</v>
      </c>
      <c r="V181" s="27">
        <f>L181*'1996-97'!M5</f>
        <v>568.7</v>
      </c>
    </row>
    <row r="182" spans="2:22" ht="9.75">
      <c r="B182" s="5" t="s">
        <v>51</v>
      </c>
      <c r="C182" s="21">
        <f>('1996-97'!$J$6-'1996-97'!$C$6)/'1996-97'!$C$6</f>
        <v>0.26433915211970077</v>
      </c>
      <c r="D182" s="21">
        <f>('1996-97'!$K$6-'1996-97'!$D$6)/'1996-97'!$D$6</f>
        <v>0.298507462686567</v>
      </c>
      <c r="E182" s="21">
        <f>('1996-97'!$L$6-'1996-97'!$E$6)/'1996-97'!$E$6</f>
        <v>0.31057268722466963</v>
      </c>
      <c r="F182" s="21" t="s">
        <v>52</v>
      </c>
      <c r="H182" s="5" t="s">
        <v>51</v>
      </c>
      <c r="I182" s="20">
        <f>297+49</f>
        <v>346</v>
      </c>
      <c r="J182" s="20">
        <f>110+60</f>
        <v>170</v>
      </c>
      <c r="K182" s="20">
        <f>75+36</f>
        <v>111</v>
      </c>
      <c r="L182" s="20">
        <v>0</v>
      </c>
      <c r="N182" s="27">
        <f>I182*'1996-97'!C6</f>
        <v>27749.2</v>
      </c>
      <c r="O182" s="27">
        <f>J182*'1996-97'!D6</f>
        <v>9112</v>
      </c>
      <c r="P182" s="27">
        <f>K182*'1996-97'!E6</f>
        <v>5039.4</v>
      </c>
      <c r="Q182" s="27">
        <v>0</v>
      </c>
      <c r="R182" s="27"/>
      <c r="S182" s="27">
        <f>I182*'1996-97'!J6</f>
        <v>35084.4</v>
      </c>
      <c r="T182" s="27">
        <f>J182*'1996-97'!K6</f>
        <v>11831.999999999998</v>
      </c>
      <c r="U182" s="27">
        <f>K182*'1996-97'!L6</f>
        <v>6604.5</v>
      </c>
      <c r="V182" s="27">
        <v>0</v>
      </c>
    </row>
    <row r="183" spans="2:22" ht="9.75">
      <c r="B183" s="5" t="s">
        <v>19</v>
      </c>
      <c r="C183" s="21">
        <f>('1996-97'!$J$7-'1996-97'!$C$7)/'1996-97'!$C$7</f>
        <v>0.21140142517814722</v>
      </c>
      <c r="D183" s="21">
        <f>('1996-97'!$K$7-'1996-97'!$D$7)/'1996-97'!$D$7</f>
        <v>0.2535460992907802</v>
      </c>
      <c r="E183" s="21">
        <f>('1996-97'!$L$7-'1996-97'!$E$7)/'1996-97'!$E$7</f>
        <v>0.25215517241379315</v>
      </c>
      <c r="F183" s="21">
        <f>('1996-97'!M7-'1996-97'!F7)/'1996-97'!F7</f>
        <v>0.2544378698224853</v>
      </c>
      <c r="H183" s="5" t="s">
        <v>19</v>
      </c>
      <c r="I183" s="20">
        <f>427</f>
        <v>427</v>
      </c>
      <c r="J183" s="20">
        <f>204+76</f>
        <v>280</v>
      </c>
      <c r="K183" s="20">
        <f>108+98</f>
        <v>206</v>
      </c>
      <c r="L183" s="20">
        <v>19</v>
      </c>
      <c r="N183" s="27">
        <f>I183*'1996-97'!C7</f>
        <v>35953.4</v>
      </c>
      <c r="O183" s="27">
        <f>J183*'1996-97'!D7</f>
        <v>15792</v>
      </c>
      <c r="P183" s="27">
        <f>K183*'1996-97'!E7</f>
        <v>9558.4</v>
      </c>
      <c r="Q183" s="27">
        <f>L183*'1996-97'!F7</f>
        <v>642.1999999999999</v>
      </c>
      <c r="R183" s="27"/>
      <c r="S183" s="27">
        <f>I183*'1996-97'!J7</f>
        <v>43554</v>
      </c>
      <c r="T183" s="27">
        <f>J183*'1996-97'!K7</f>
        <v>19796</v>
      </c>
      <c r="U183" s="27">
        <f>K183*'1996-97'!L7</f>
        <v>11968.6</v>
      </c>
      <c r="V183" s="27">
        <f>L183*'1996-97'!M7</f>
        <v>805.6</v>
      </c>
    </row>
    <row r="184" spans="2:22" ht="9.75">
      <c r="B184" s="5" t="s">
        <v>20</v>
      </c>
      <c r="C184" s="21">
        <f>('1996-97'!$J$8-'1996-97'!$C$8)/'1996-97'!$C$8</f>
        <v>0.230869001297017</v>
      </c>
      <c r="D184" s="21">
        <f>('1996-97'!$K$8-'1996-97'!$D$8)/'1996-97'!$D$8</f>
        <v>0.029090909090909115</v>
      </c>
      <c r="E184" s="21">
        <f>('1996-97'!$L$8-'1996-97'!$E$8)/'1996-97'!$E$8</f>
        <v>0.391213389121339</v>
      </c>
      <c r="F184" s="21">
        <f>('1996-97'!M8-'1996-97'!F8)/'1996-97'!F8</f>
        <v>0.28726287262872635</v>
      </c>
      <c r="H184" s="5" t="s">
        <v>20</v>
      </c>
      <c r="I184" s="6">
        <f>442+64</f>
        <v>506</v>
      </c>
      <c r="J184" s="6">
        <f>207+114</f>
        <v>321</v>
      </c>
      <c r="K184" s="6">
        <f>121+97</f>
        <v>218</v>
      </c>
      <c r="L184" s="6">
        <v>7</v>
      </c>
      <c r="N184" s="27">
        <f>I184*'1996-97'!C8</f>
        <v>39012.6</v>
      </c>
      <c r="O184" s="27">
        <f>J184*'1996-97'!D8</f>
        <v>17655</v>
      </c>
      <c r="P184" s="27">
        <f>K184*'1996-97'!E8</f>
        <v>10420.4</v>
      </c>
      <c r="Q184" s="27">
        <f>L184*'1996-97'!F8</f>
        <v>258.3</v>
      </c>
      <c r="R184" s="27"/>
      <c r="S184" s="27">
        <f>I184*'1996-97'!J8</f>
        <v>48019.4</v>
      </c>
      <c r="T184" s="27">
        <f>J184*'1996-97'!K8</f>
        <v>18168.600000000002</v>
      </c>
      <c r="U184" s="27">
        <f>K184*'1996-97'!L8</f>
        <v>14497</v>
      </c>
      <c r="V184" s="27">
        <f>L184*'1996-97'!M8</f>
        <v>332.5</v>
      </c>
    </row>
    <row r="185" spans="2:22" ht="9.75">
      <c r="B185" s="5" t="s">
        <v>21</v>
      </c>
      <c r="C185" s="21">
        <f>('1996-97'!$J$9-'1996-97'!$C$9)/'1996-97'!$C$9</f>
        <v>0.18613138686131384</v>
      </c>
      <c r="D185" s="21">
        <f>('1996-97'!$K$9-'1996-97'!$D$9)/'1996-97'!$D$9</f>
        <v>0.2033898305084746</v>
      </c>
      <c r="E185" s="21">
        <f>('1996-97'!$L$9-'1996-97'!$E$9)/'1996-97'!$E$9</f>
        <v>0.2066115702479339</v>
      </c>
      <c r="F185" s="21">
        <f>('1996-97'!M9-'1996-97'!F9)/'1996-97'!F9</f>
        <v>0.14743589743589758</v>
      </c>
      <c r="H185" s="5" t="s">
        <v>21</v>
      </c>
      <c r="I185" s="20">
        <f>494+99</f>
        <v>593</v>
      </c>
      <c r="J185" s="20">
        <f>205+104</f>
        <v>309</v>
      </c>
      <c r="K185" s="20">
        <f>120+91</f>
        <v>211</v>
      </c>
      <c r="L185" s="20">
        <v>11</v>
      </c>
      <c r="N185" s="27">
        <f>I185*'1996-97'!C9</f>
        <v>48744.6</v>
      </c>
      <c r="O185" s="27">
        <f>J185*'1996-97'!D9</f>
        <v>18231</v>
      </c>
      <c r="P185" s="27">
        <f>K185*'1996-97'!E9</f>
        <v>10212.4</v>
      </c>
      <c r="Q185" s="27">
        <f>L185*'1996-97'!F9</f>
        <v>514.8</v>
      </c>
      <c r="R185" s="27"/>
      <c r="S185" s="27">
        <f>I185*'1996-97'!J9</f>
        <v>57817.5</v>
      </c>
      <c r="T185" s="27">
        <f>J185*'1996-97'!K9</f>
        <v>21939</v>
      </c>
      <c r="U185" s="27">
        <f>K185*'1996-97'!L9</f>
        <v>12322.4</v>
      </c>
      <c r="V185" s="27">
        <f>L185*'1996-97'!M9</f>
        <v>590.7</v>
      </c>
    </row>
    <row r="186" spans="2:22" ht="9.75">
      <c r="B186" s="5" t="s">
        <v>22</v>
      </c>
      <c r="C186" s="21">
        <f>('1996-97'!$J$10-'1996-97'!$C$10)/'1996-97'!$C$10</f>
        <v>0.25559947299077723</v>
      </c>
      <c r="D186" s="21">
        <f>('1996-97'!$K$10-'1996-97'!$D$10)/'1996-97'!$D$10</f>
        <v>0.2768361581920903</v>
      </c>
      <c r="E186" s="21">
        <f>('1996-97'!$L$10-'1996-97'!$E$10)/'1996-97'!$E$10</f>
        <v>0.25576036866359453</v>
      </c>
      <c r="F186" s="21" t="s">
        <v>52</v>
      </c>
      <c r="H186" s="5" t="s">
        <v>22</v>
      </c>
      <c r="I186" s="20">
        <f>478+87</f>
        <v>565</v>
      </c>
      <c r="J186" s="20">
        <f>233+101</f>
        <v>334</v>
      </c>
      <c r="K186" s="20">
        <f>207+136</f>
        <v>343</v>
      </c>
      <c r="L186" s="20">
        <v>0</v>
      </c>
      <c r="N186" s="27">
        <f>I186*'1996-97'!C10</f>
        <v>42883.5</v>
      </c>
      <c r="O186" s="27">
        <f>J186*'1996-97'!D10</f>
        <v>17735.4</v>
      </c>
      <c r="P186" s="27">
        <f>K186*'1996-97'!E10</f>
        <v>14886.199999999999</v>
      </c>
      <c r="Q186" s="27">
        <v>0</v>
      </c>
      <c r="R186" s="27"/>
      <c r="S186" s="27">
        <f>I186*'1996-97'!J10</f>
        <v>53844.5</v>
      </c>
      <c r="T186" s="27">
        <f>J186*'1996-97'!K10</f>
        <v>22645.2</v>
      </c>
      <c r="U186" s="27">
        <f>K186*'1996-97'!L10</f>
        <v>18693.5</v>
      </c>
      <c r="V186" s="27">
        <v>0</v>
      </c>
    </row>
    <row r="187" spans="2:22" ht="9.75">
      <c r="B187" s="5" t="s">
        <v>23</v>
      </c>
      <c r="C187" s="21">
        <f>('1996-97'!$J$11-'1996-97'!$C$11)/'1996-97'!$C$11</f>
        <v>0.21145975443383358</v>
      </c>
      <c r="D187" s="21">
        <f>('1996-97'!$K$11-'1996-97'!$D$11)/'1996-97'!$D$11</f>
        <v>0.22777777777777772</v>
      </c>
      <c r="E187" s="21">
        <f>('1996-97'!$L$11-'1996-97'!$E$11)/'1996-97'!$E$11</f>
        <v>0.23568281938326</v>
      </c>
      <c r="F187" s="21">
        <f>('1996-97'!M11-'1996-97'!F11)/'1996-97'!F11</f>
        <v>0.25287356321839094</v>
      </c>
      <c r="H187" s="5" t="s">
        <v>23</v>
      </c>
      <c r="I187" s="20">
        <f>411+56</f>
        <v>467</v>
      </c>
      <c r="J187" s="20">
        <f>204+80</f>
        <v>284</v>
      </c>
      <c r="K187" s="20">
        <f>135+101</f>
        <v>236</v>
      </c>
      <c r="L187" s="20">
        <f>46+49</f>
        <v>95</v>
      </c>
      <c r="N187" s="27">
        <f>I187*'1996-97'!C11</f>
        <v>34231.1</v>
      </c>
      <c r="O187" s="27">
        <f>J187*'1996-97'!D11</f>
        <v>15336</v>
      </c>
      <c r="P187" s="27">
        <f>K187*'1996-97'!E11</f>
        <v>10714.4</v>
      </c>
      <c r="Q187" s="27">
        <f>L187*'1996-97'!F11</f>
        <v>3305.9999999999995</v>
      </c>
      <c r="R187" s="27"/>
      <c r="S187" s="27">
        <f>I187*'1996-97'!J11</f>
        <v>41469.6</v>
      </c>
      <c r="T187" s="27">
        <f>J187*'1996-97'!K11</f>
        <v>18829.2</v>
      </c>
      <c r="U187" s="27">
        <f>K187*'1996-97'!L11</f>
        <v>13239.6</v>
      </c>
      <c r="V187" s="27">
        <f>L187*'1996-97'!M11</f>
        <v>4142</v>
      </c>
    </row>
    <row r="188" spans="2:22" ht="9.75">
      <c r="B188" s="5" t="s">
        <v>24</v>
      </c>
      <c r="C188" s="21">
        <f>('1996-97'!$J$12-'1996-97'!$C$12)/'1996-97'!$C$12</f>
        <v>0.2255319148936171</v>
      </c>
      <c r="D188" s="14">
        <f>('1996-97'!$K$12-'1996-97'!$D$12)/'1996-97'!$D$12</f>
        <v>0.24649298597194397</v>
      </c>
      <c r="E188" s="21">
        <f>('1996-97'!$L$12-'1996-97'!$E$12)/'1996-97'!$E$12</f>
        <v>0.23893805309734506</v>
      </c>
      <c r="F188" s="21">
        <f>('1996-97'!M12-'1996-97'!F12)/'1996-97'!F12</f>
        <v>0.23676012461059193</v>
      </c>
      <c r="H188" s="5" t="s">
        <v>24</v>
      </c>
      <c r="I188" s="20">
        <f>782+119</f>
        <v>901</v>
      </c>
      <c r="J188" s="20">
        <f>318+125</f>
        <v>443</v>
      </c>
      <c r="K188" s="20">
        <f>163+142</f>
        <v>305</v>
      </c>
      <c r="L188" s="20">
        <v>8</v>
      </c>
      <c r="N188" s="27">
        <f>I188*'1996-97'!C12</f>
        <v>63520.5</v>
      </c>
      <c r="O188" s="27">
        <f>J188*'1996-97'!D12</f>
        <v>22105.7</v>
      </c>
      <c r="P188" s="27">
        <f>K188*'1996-97'!E12</f>
        <v>13786</v>
      </c>
      <c r="Q188" s="27">
        <f>L188*'1996-97'!F12</f>
        <v>256.8</v>
      </c>
      <c r="R188" s="27"/>
      <c r="S188" s="27">
        <f>I188*'1996-97'!J12</f>
        <v>77846.40000000001</v>
      </c>
      <c r="T188" s="27">
        <f>J188*'1996-97'!K12</f>
        <v>27554.600000000002</v>
      </c>
      <c r="U188" s="27">
        <f>K188*'1996-97'!L12</f>
        <v>17080</v>
      </c>
      <c r="V188" s="27">
        <f>L188*'1996-97'!M12</f>
        <v>317.6</v>
      </c>
    </row>
    <row r="189" spans="2:22" ht="9.75">
      <c r="B189" s="5"/>
      <c r="I189" s="20"/>
      <c r="J189" s="20"/>
      <c r="K189" s="20"/>
      <c r="L189" s="20"/>
      <c r="N189" s="27"/>
      <c r="O189" s="27"/>
      <c r="P189" s="27"/>
      <c r="Q189" s="27"/>
      <c r="R189" s="27"/>
      <c r="S189" s="27"/>
      <c r="T189" s="27"/>
      <c r="U189" s="27"/>
      <c r="V189" s="27"/>
    </row>
    <row r="190" spans="2:22" ht="9.75">
      <c r="B190" s="5" t="s">
        <v>59</v>
      </c>
      <c r="C190" s="21">
        <f>('1996-97'!$J$14-'1996-97'!$C$14)/'1996-97'!$C$14</f>
        <v>0.22521381057966414</v>
      </c>
      <c r="D190" s="21">
        <f>('1996-97'!$K$14-'1996-97'!$D$14)/'1996-97'!$D$14</f>
        <v>0.22389738973897416</v>
      </c>
      <c r="E190" s="21">
        <f>('1996-97'!$L$14-'1996-97'!$E$14)/'1996-97'!$E$14</f>
        <v>0.2719227674979888</v>
      </c>
      <c r="F190" s="21">
        <f>('1996-97'!$M$14-'1996-97'!$F$14)/'1996-97'!$F$14</f>
        <v>0.24430549352389458</v>
      </c>
      <c r="H190" s="5" t="s">
        <v>25</v>
      </c>
      <c r="I190" s="20">
        <f>SUM(I181:I189)</f>
        <v>4650</v>
      </c>
      <c r="J190" s="20">
        <f>SUM(J181:J189)</f>
        <v>2581</v>
      </c>
      <c r="K190" s="20">
        <f>SUM(K181:K189)</f>
        <v>2090</v>
      </c>
      <c r="L190" s="20">
        <f>SUM(L181:L189)</f>
        <v>151</v>
      </c>
      <c r="N190" s="27"/>
      <c r="O190" s="27"/>
      <c r="P190" s="27"/>
      <c r="Q190" s="27"/>
      <c r="R190" s="27"/>
      <c r="S190" s="27"/>
      <c r="T190" s="27"/>
      <c r="U190" s="27"/>
      <c r="V190" s="27"/>
    </row>
    <row r="191" spans="2:22" ht="9.75">
      <c r="B191" s="5"/>
      <c r="I191" s="20"/>
      <c r="J191" s="20"/>
      <c r="K191" s="20"/>
      <c r="L191" s="20"/>
      <c r="N191" s="27"/>
      <c r="O191" s="27"/>
      <c r="P191" s="27"/>
      <c r="Q191" s="27"/>
      <c r="R191" s="27"/>
      <c r="S191" s="27"/>
      <c r="T191" s="27"/>
      <c r="U191" s="27"/>
      <c r="V191" s="27"/>
    </row>
    <row r="192" spans="2:22" ht="9.75">
      <c r="B192" s="5" t="s">
        <v>26</v>
      </c>
      <c r="C192" s="21">
        <f>('1996-97'!$J$17-'1996-97'!$C$17)/'1996-97'!$C$17</f>
        <v>0.2504145936981759</v>
      </c>
      <c r="D192" s="21">
        <f>('1996-97'!$K$17-'1996-97'!$D$17)/'1996-97'!$D$17</f>
        <v>0.27212389380530966</v>
      </c>
      <c r="E192" s="21">
        <f>('1996-97'!$L$17-'1996-97'!$E$17)/'1996-97'!$E$17</f>
        <v>0.2597402597402597</v>
      </c>
      <c r="F192" s="21">
        <f>('1996-97'!$M$17-'1996-97'!$F$17)/'1996-97'!$F$17</f>
        <v>0.34494773519163774</v>
      </c>
      <c r="H192" s="5" t="s">
        <v>26</v>
      </c>
      <c r="I192" s="20">
        <f>180+40</f>
        <v>220</v>
      </c>
      <c r="J192" s="20">
        <f>125+60</f>
        <v>185</v>
      </c>
      <c r="K192" s="20">
        <f>82+65</f>
        <v>147</v>
      </c>
      <c r="L192" s="20">
        <f>26+37</f>
        <v>63</v>
      </c>
      <c r="N192" s="27">
        <f>SUM(N181:N191)</f>
        <v>366454.9</v>
      </c>
      <c r="O192" s="27">
        <f>SUM(O181:O191)</f>
        <v>143863.1</v>
      </c>
      <c r="P192" s="27">
        <f>SUM(P181:P191)</f>
        <v>98031.2</v>
      </c>
      <c r="Q192" s="27">
        <f>SUM(Q181:Q191)</f>
        <v>5412.599999999999</v>
      </c>
      <c r="R192" s="27"/>
      <c r="S192" s="27">
        <f>SUM(S181:S191)</f>
        <v>448304.3</v>
      </c>
      <c r="T192" s="27">
        <f>SUM(T181:T191)</f>
        <v>175832.6</v>
      </c>
      <c r="U192" s="27">
        <f>SUM(U181:U191)</f>
        <v>124397.6</v>
      </c>
      <c r="V192" s="27">
        <f>SUM(V181:V191)</f>
        <v>6757.1</v>
      </c>
    </row>
    <row r="193" spans="14:22" ht="9.75">
      <c r="N193" s="27"/>
      <c r="O193" s="27"/>
      <c r="P193" s="27"/>
      <c r="Q193" s="27"/>
      <c r="R193" s="27"/>
      <c r="S193" s="27"/>
      <c r="T193" s="27"/>
      <c r="U193" s="27"/>
      <c r="V193" s="27"/>
    </row>
    <row r="194" spans="2:22" ht="10.5" thickBot="1">
      <c r="B194" s="50" t="s">
        <v>10</v>
      </c>
      <c r="C194" s="50"/>
      <c r="D194" s="50"/>
      <c r="E194" s="50"/>
      <c r="F194" s="50"/>
      <c r="G194" s="50"/>
      <c r="H194" s="50"/>
      <c r="I194" s="50"/>
      <c r="J194" s="50"/>
      <c r="K194" s="50"/>
      <c r="L194" s="50"/>
      <c r="N194" s="27"/>
      <c r="O194" s="27"/>
      <c r="P194" s="27"/>
      <c r="Q194" s="27"/>
      <c r="R194" s="27"/>
      <c r="S194" s="27"/>
      <c r="T194" s="27"/>
      <c r="U194" s="27"/>
      <c r="V194" s="27"/>
    </row>
    <row r="195" spans="2:22" ht="9.75">
      <c r="B195" s="51" t="s">
        <v>11</v>
      </c>
      <c r="C195" s="51" t="s">
        <v>12</v>
      </c>
      <c r="D195" s="51"/>
      <c r="E195" s="51"/>
      <c r="F195" s="51"/>
      <c r="H195" s="51" t="s">
        <v>11</v>
      </c>
      <c r="I195" s="51" t="s">
        <v>13</v>
      </c>
      <c r="J195" s="51"/>
      <c r="K195" s="51"/>
      <c r="L195" s="51"/>
      <c r="N195" s="27"/>
      <c r="O195" s="27"/>
      <c r="P195" s="27"/>
      <c r="Q195" s="27"/>
      <c r="R195" s="27"/>
      <c r="S195" s="27"/>
      <c r="T195" s="27"/>
      <c r="U195" s="27"/>
      <c r="V195" s="27"/>
    </row>
    <row r="196" spans="2:22" ht="9.75">
      <c r="B196" s="51"/>
      <c r="C196" s="8" t="s">
        <v>44</v>
      </c>
      <c r="D196" s="8" t="s">
        <v>14</v>
      </c>
      <c r="E196" s="8" t="s">
        <v>15</v>
      </c>
      <c r="F196" s="8" t="s">
        <v>16</v>
      </c>
      <c r="H196" s="51"/>
      <c r="I196" s="8" t="s">
        <v>44</v>
      </c>
      <c r="J196" s="8" t="s">
        <v>14</v>
      </c>
      <c r="K196" s="8" t="s">
        <v>15</v>
      </c>
      <c r="L196" s="8" t="s">
        <v>16</v>
      </c>
      <c r="N196" s="52" t="s">
        <v>17</v>
      </c>
      <c r="O196" s="52"/>
      <c r="P196" s="52"/>
      <c r="Q196" s="52"/>
      <c r="R196" s="52"/>
      <c r="S196" s="52"/>
      <c r="T196" s="52"/>
      <c r="U196" s="52"/>
      <c r="V196" s="52"/>
    </row>
    <row r="197" spans="2:22" ht="9.75">
      <c r="B197" s="5" t="s">
        <v>18</v>
      </c>
      <c r="C197" s="21">
        <f>('1995-96'!$J$5-'1995-96'!$C$5)/'1995-96'!$C$5</f>
        <v>0.2235294117647059</v>
      </c>
      <c r="D197" s="21">
        <f>('1995-96'!$K$5-'1995-96'!$D$5)/'1995-96'!$D$5</f>
        <v>0.2629032258064516</v>
      </c>
      <c r="E197" s="21">
        <f>('1995-96'!$L$5-'1995-96'!$E$5)/'1995-96'!$E$5</f>
        <v>0.28542914171656697</v>
      </c>
      <c r="F197" s="21">
        <f>('1995-96'!M5-'1995-96'!F5)/'1995-96'!F5</f>
        <v>0.3341708542713569</v>
      </c>
      <c r="H197" s="5" t="s">
        <v>18</v>
      </c>
      <c r="I197" s="20">
        <f>724+98</f>
        <v>822</v>
      </c>
      <c r="J197" s="20">
        <f>310+122</f>
        <v>432</v>
      </c>
      <c r="K197" s="20">
        <f>285+191</f>
        <v>476</v>
      </c>
      <c r="L197" s="20">
        <v>10</v>
      </c>
      <c r="N197" s="27">
        <f>I197*'1995-96'!C5</f>
        <v>69870</v>
      </c>
      <c r="O197" s="27">
        <f>J197*'1995-96'!D5</f>
        <v>26784</v>
      </c>
      <c r="P197" s="27">
        <f>K197*'1995-96'!E5</f>
        <v>23847.600000000002</v>
      </c>
      <c r="Q197" s="27">
        <f>L197*'1995-96'!F5</f>
        <v>398</v>
      </c>
      <c r="R197" s="27"/>
      <c r="S197" s="27">
        <f>I197*'1995-96'!J5</f>
        <v>85488</v>
      </c>
      <c r="T197" s="27">
        <f>J197*'1995-96'!K5</f>
        <v>33825.6</v>
      </c>
      <c r="U197" s="27">
        <f>K197*'1995-96'!L5</f>
        <v>30654.4</v>
      </c>
      <c r="V197" s="27">
        <f>L197*'1995-96'!M5</f>
        <v>531</v>
      </c>
    </row>
    <row r="198" spans="2:22" ht="9.75">
      <c r="B198" s="5" t="s">
        <v>51</v>
      </c>
      <c r="C198" s="21">
        <f>('1995-96'!$J$6-'1995-96'!$C$6)/'1995-96'!$C$6</f>
        <v>0.25802469135802475</v>
      </c>
      <c r="D198" s="21">
        <f>('1995-96'!$K$6-'1995-96'!$D$6)/'1995-96'!$D$6</f>
        <v>0.2979127134724858</v>
      </c>
      <c r="E198" s="21">
        <f>('1995-96'!$L$6-'1995-96'!$E$6)/'1995-96'!$E$6</f>
        <v>0.3126385809312639</v>
      </c>
      <c r="F198" s="21" t="s">
        <v>52</v>
      </c>
      <c r="H198" s="5" t="s">
        <v>51</v>
      </c>
      <c r="I198" s="20">
        <f>285+46</f>
        <v>331</v>
      </c>
      <c r="J198" s="20">
        <f>105+49</f>
        <v>154</v>
      </c>
      <c r="K198" s="20">
        <f>88+47</f>
        <v>135</v>
      </c>
      <c r="L198" s="20">
        <v>0</v>
      </c>
      <c r="N198" s="27">
        <f>I198*'1995-96'!C6</f>
        <v>26811</v>
      </c>
      <c r="O198" s="27">
        <f>J198*'1995-96'!D6</f>
        <v>8115.8</v>
      </c>
      <c r="P198" s="27">
        <f>K198*'1995-96'!E6</f>
        <v>6088.5</v>
      </c>
      <c r="Q198" s="27">
        <v>0</v>
      </c>
      <c r="R198" s="27"/>
      <c r="S198" s="27">
        <f>I198*'1995-96'!J6</f>
        <v>33728.9</v>
      </c>
      <c r="T198" s="27">
        <f>J198*'1995-96'!K6</f>
        <v>10533.6</v>
      </c>
      <c r="U198" s="27">
        <f>K198*'1995-96'!L6</f>
        <v>7992</v>
      </c>
      <c r="V198" s="27">
        <v>0</v>
      </c>
    </row>
    <row r="199" spans="2:22" ht="9.75">
      <c r="B199" s="5" t="s">
        <v>19</v>
      </c>
      <c r="C199" s="21">
        <f>('1995-96'!$J$7-'1995-96'!$C$7)/'1995-96'!$C$7</f>
        <v>0.21498771498771496</v>
      </c>
      <c r="D199" s="21">
        <f>('1995-96'!$K$7-'1995-96'!$D$7)/'1995-96'!$D$7</f>
        <v>0.25735294117647073</v>
      </c>
      <c r="E199" s="21">
        <f>('1995-96'!$L$7-'1995-96'!$E$7)/'1995-96'!$E$7</f>
        <v>0.255656108597285</v>
      </c>
      <c r="F199" s="21">
        <f>('1995-96'!M7-'1995-96'!F7)/'1995-96'!F7</f>
        <v>0.23839009287925708</v>
      </c>
      <c r="H199" s="5" t="s">
        <v>19</v>
      </c>
      <c r="I199" s="20">
        <f>422+44</f>
        <v>466</v>
      </c>
      <c r="J199" s="20">
        <f>220+67</f>
        <v>287</v>
      </c>
      <c r="K199" s="20">
        <f>111+86</f>
        <v>197</v>
      </c>
      <c r="L199" s="20">
        <v>17</v>
      </c>
      <c r="N199" s="27">
        <f>I199*'1995-96'!C7</f>
        <v>37932.4</v>
      </c>
      <c r="O199" s="27">
        <f>J199*'1995-96'!D7</f>
        <v>15612.8</v>
      </c>
      <c r="P199" s="27">
        <f>K199*'1995-96'!E7</f>
        <v>8707.400000000001</v>
      </c>
      <c r="Q199" s="27">
        <f>L199*'1995-96'!F7</f>
        <v>549.0999999999999</v>
      </c>
      <c r="R199" s="27"/>
      <c r="S199" s="27">
        <f>I199*'1995-96'!J7</f>
        <v>46087.4</v>
      </c>
      <c r="T199" s="27">
        <f>J199*'1995-96'!K7</f>
        <v>19630.800000000003</v>
      </c>
      <c r="U199" s="27">
        <f>K199*'1995-96'!L7</f>
        <v>10933.5</v>
      </c>
      <c r="V199" s="27">
        <f>L199*'1995-96'!M7</f>
        <v>680</v>
      </c>
    </row>
    <row r="200" spans="2:22" ht="9.75">
      <c r="B200" s="5" t="s">
        <v>20</v>
      </c>
      <c r="C200" s="21">
        <f>('1995-96'!$J$8-'1995-96'!$C$8)/'1995-96'!$C$8</f>
        <v>0.2341857335127861</v>
      </c>
      <c r="D200" s="21">
        <f>('1995-96'!$K$8-'1995-96'!$D$8)/'1995-96'!$D$8</f>
        <v>0.2578268876611418</v>
      </c>
      <c r="E200" s="21">
        <f>('1995-96'!$L$8-'1995-96'!$E$8)/'1995-96'!$E$8</f>
        <v>0.2681318681318682</v>
      </c>
      <c r="F200" s="21">
        <f>('1995-96'!M8-'1995-96'!F8)/'1995-96'!F8</f>
        <v>0.27819548872180455</v>
      </c>
      <c r="H200" s="5" t="s">
        <v>20</v>
      </c>
      <c r="I200" s="6">
        <f>443+62</f>
        <v>505</v>
      </c>
      <c r="J200" s="6">
        <f>215+97</f>
        <v>312</v>
      </c>
      <c r="K200" s="6">
        <f>130+129</f>
        <v>259</v>
      </c>
      <c r="L200" s="6">
        <v>9</v>
      </c>
      <c r="N200" s="27">
        <f>I200*'1995-96'!C8</f>
        <v>37521.5</v>
      </c>
      <c r="O200" s="27">
        <f>J200*'1995-96'!D8</f>
        <v>16941.6</v>
      </c>
      <c r="P200" s="27">
        <f>K200*'1995-96'!E8</f>
        <v>11784.5</v>
      </c>
      <c r="Q200" s="27">
        <f>L200*'1995-96'!F8</f>
        <v>359.09999999999997</v>
      </c>
      <c r="R200" s="27"/>
      <c r="S200" s="27">
        <f>I200*'1995-96'!J8</f>
        <v>46308.5</v>
      </c>
      <c r="T200" s="27">
        <f>J200*'1995-96'!K8</f>
        <v>21309.6</v>
      </c>
      <c r="U200" s="27">
        <f>K200*'1995-96'!L8</f>
        <v>14944.300000000001</v>
      </c>
      <c r="V200" s="27">
        <f>L200*'1995-96'!M8</f>
        <v>459</v>
      </c>
    </row>
    <row r="201" spans="2:22" ht="9.75">
      <c r="B201" s="5" t="s">
        <v>21</v>
      </c>
      <c r="C201" s="21">
        <f>('1995-96'!$J$9-'1995-96'!$C$9)/'1995-96'!$C$9</f>
        <v>0.18972332015810264</v>
      </c>
      <c r="D201" s="21">
        <f>('1995-96'!$K$9-'1995-96'!$D$9)/'1995-96'!$D$9</f>
        <v>0.2070240295748613</v>
      </c>
      <c r="E201" s="21">
        <f>('1995-96'!$L$9-'1995-96'!$E$9)/'1995-96'!$E$9</f>
        <v>0.21006564551422305</v>
      </c>
      <c r="F201" s="21">
        <f>('1995-96'!M9-'1995-96'!F9)/'1995-96'!F9</f>
        <v>0.2110552763819097</v>
      </c>
      <c r="H201" s="5" t="s">
        <v>21</v>
      </c>
      <c r="I201" s="20">
        <f>507+87</f>
        <v>594</v>
      </c>
      <c r="J201" s="20">
        <f>192+115</f>
        <v>307</v>
      </c>
      <c r="K201" s="20">
        <f>133+89</f>
        <v>222</v>
      </c>
      <c r="L201" s="20">
        <v>12</v>
      </c>
      <c r="N201" s="27">
        <f>I201*'1995-96'!C9</f>
        <v>45084.600000000006</v>
      </c>
      <c r="O201" s="27">
        <f>J201*'1995-96'!D9</f>
        <v>16608.7</v>
      </c>
      <c r="P201" s="27">
        <f>K201*'1995-96'!E9</f>
        <v>10145.400000000001</v>
      </c>
      <c r="Q201" s="27">
        <f>L201*'1995-96'!F9</f>
        <v>477.59999999999997</v>
      </c>
      <c r="R201" s="27"/>
      <c r="S201" s="27">
        <f>I201*'1995-96'!J9</f>
        <v>53638.2</v>
      </c>
      <c r="T201" s="27">
        <f>J201*'1995-96'!K9</f>
        <v>20047.1</v>
      </c>
      <c r="U201" s="27">
        <f>K201*'1995-96'!L9</f>
        <v>12276.599999999999</v>
      </c>
      <c r="V201" s="27">
        <f>L201*'1995-96'!M9</f>
        <v>578.4000000000001</v>
      </c>
    </row>
    <row r="202" spans="2:22" ht="9.75">
      <c r="B202" s="5" t="s">
        <v>22</v>
      </c>
      <c r="C202" s="21">
        <f>('1995-96'!$J$10-'1995-96'!$C$10)/'1995-96'!$C$10</f>
        <v>0.25966850828729277</v>
      </c>
      <c r="D202" s="21">
        <f>('1995-96'!$K$10-'1995-96'!$D$10)/'1995-96'!$D$10</f>
        <v>0.27929687499999994</v>
      </c>
      <c r="E202" s="21">
        <f>('1995-96'!$L$10-'1995-96'!$E$10)/'1995-96'!$E$10</f>
        <v>0.26136363636363635</v>
      </c>
      <c r="F202" s="21" t="s">
        <v>52</v>
      </c>
      <c r="H202" s="5" t="s">
        <v>22</v>
      </c>
      <c r="I202" s="20">
        <f>514+83</f>
        <v>597</v>
      </c>
      <c r="J202" s="20">
        <f>233+105</f>
        <v>338</v>
      </c>
      <c r="K202" s="20">
        <f>196+116</f>
        <v>312</v>
      </c>
      <c r="L202" s="20">
        <v>0</v>
      </c>
      <c r="N202" s="27">
        <f>I202*'1995-96'!C10</f>
        <v>43222.8</v>
      </c>
      <c r="O202" s="27">
        <f>J202*'1995-96'!D10</f>
        <v>17305.600000000002</v>
      </c>
      <c r="P202" s="27">
        <f>K202*'1995-96'!E10</f>
        <v>13728</v>
      </c>
      <c r="Q202" s="27">
        <v>0</v>
      </c>
      <c r="R202" s="27"/>
      <c r="S202" s="27">
        <f>I202*'1995-96'!J10</f>
        <v>54446.4</v>
      </c>
      <c r="T202" s="27">
        <f>J202*'1995-96'!K10</f>
        <v>22139</v>
      </c>
      <c r="U202" s="27">
        <f>K202*'1995-96'!L10</f>
        <v>17316</v>
      </c>
      <c r="V202" s="27">
        <v>0</v>
      </c>
    </row>
    <row r="203" spans="2:22" ht="9.75">
      <c r="B203" s="5" t="s">
        <v>23</v>
      </c>
      <c r="C203" s="21">
        <f>('1995-96'!$J$11-'1995-96'!$C$11)/'1995-96'!$C$11</f>
        <v>0.2197496522948539</v>
      </c>
      <c r="D203" s="21">
        <f>('1995-96'!$K$11-'1995-96'!$D$11)/'1995-96'!$D$11</f>
        <v>0.24202626641651043</v>
      </c>
      <c r="E203" s="21">
        <f>('1995-96'!$L$11-'1995-96'!$E$11)/'1995-96'!$E$11</f>
        <v>0.2422222222222222</v>
      </c>
      <c r="F203" s="21">
        <f>('1995-96'!M11-'1995-96'!F11)/'1995-96'!F11</f>
        <v>0.24332344213649837</v>
      </c>
      <c r="H203" s="5" t="s">
        <v>23</v>
      </c>
      <c r="I203" s="20">
        <f>427+55</f>
        <v>482</v>
      </c>
      <c r="J203" s="20">
        <f>203+80</f>
        <v>283</v>
      </c>
      <c r="K203" s="20">
        <f>136+89</f>
        <v>225</v>
      </c>
      <c r="L203" s="20">
        <f>48+53</f>
        <v>101</v>
      </c>
      <c r="N203" s="27">
        <f>I203*'1995-96'!C11</f>
        <v>34655.8</v>
      </c>
      <c r="O203" s="27">
        <f>J203*'1995-96'!D11</f>
        <v>15083.9</v>
      </c>
      <c r="P203" s="27">
        <f>K203*'1995-96'!E11</f>
        <v>10125</v>
      </c>
      <c r="Q203" s="27">
        <f>L203*'1995-96'!F11</f>
        <v>3403.7000000000003</v>
      </c>
      <c r="R203" s="27"/>
      <c r="S203" s="27">
        <f>I203*'1995-96'!J11</f>
        <v>42271.4</v>
      </c>
      <c r="T203" s="27">
        <f>J203*'1995-96'!K11</f>
        <v>18734.600000000002</v>
      </c>
      <c r="U203" s="27">
        <f>K203*'1995-96'!L11</f>
        <v>12577.5</v>
      </c>
      <c r="V203" s="27">
        <f>L203*'1995-96'!M11</f>
        <v>4231.9</v>
      </c>
    </row>
    <row r="204" spans="2:22" ht="9.75">
      <c r="B204" s="5" t="s">
        <v>24</v>
      </c>
      <c r="C204" s="21">
        <f>('1995-96'!$J$12-'1995-96'!$C$12)/'1995-96'!$C$12</f>
        <v>0.2179487179487179</v>
      </c>
      <c r="D204" s="21">
        <f>('1995-96'!$K$12-'1995-96'!$D$12)/'1995-96'!$D$12</f>
        <v>0.2525050100200401</v>
      </c>
      <c r="E204" s="21">
        <f>('1995-96'!$L$12-'1995-96'!$E$12)/'1995-96'!$E$12</f>
        <v>0.26008968609865474</v>
      </c>
      <c r="F204" s="21">
        <f>('1995-96'!M12-'1995-96'!F12)/'1995-96'!F12</f>
        <v>0.29141104294478526</v>
      </c>
      <c r="H204" s="5" t="s">
        <v>24</v>
      </c>
      <c r="I204" s="20">
        <f>806+117</f>
        <v>923</v>
      </c>
      <c r="J204" s="20">
        <f>311+120</f>
        <v>431</v>
      </c>
      <c r="K204" s="20">
        <f>165+150</f>
        <v>315</v>
      </c>
      <c r="L204" s="20">
        <v>8</v>
      </c>
      <c r="N204" s="27">
        <f>I204*'1995-96'!C12</f>
        <v>64794.600000000006</v>
      </c>
      <c r="O204" s="27">
        <f>J204*'1995-96'!D12</f>
        <v>21506.899999999998</v>
      </c>
      <c r="P204" s="27">
        <f>K204*'1995-96'!E12</f>
        <v>14049</v>
      </c>
      <c r="Q204" s="27">
        <f>L204*'1995-96'!F12</f>
        <v>260.8</v>
      </c>
      <c r="R204" s="27"/>
      <c r="S204" s="27">
        <f>I204*'1995-96'!J12</f>
        <v>78916.5</v>
      </c>
      <c r="T204" s="27">
        <f>J204*'1995-96'!K12</f>
        <v>26937.5</v>
      </c>
      <c r="U204" s="27">
        <f>K204*'1995-96'!L12</f>
        <v>17703</v>
      </c>
      <c r="V204" s="27">
        <f>L204*'1995-96'!M12</f>
        <v>336.8</v>
      </c>
    </row>
    <row r="205" spans="2:22" ht="9.75">
      <c r="B205" s="5"/>
      <c r="I205" s="20"/>
      <c r="J205" s="20"/>
      <c r="K205" s="20"/>
      <c r="L205" s="20"/>
      <c r="N205" s="27"/>
      <c r="O205" s="27"/>
      <c r="P205" s="27"/>
      <c r="Q205" s="27"/>
      <c r="R205" s="27"/>
      <c r="S205" s="27"/>
      <c r="T205" s="27"/>
      <c r="U205" s="27"/>
      <c r="V205" s="27"/>
    </row>
    <row r="206" spans="2:22" ht="9.75">
      <c r="B206" s="5" t="s">
        <v>59</v>
      </c>
      <c r="C206" s="21">
        <f>('1995-96'!$J$14-'1995-96'!$C$14)/'1995-96'!$C$14</f>
        <v>0.22725044927299465</v>
      </c>
      <c r="D206" s="21">
        <f>('1995-96'!$K$14-'1995-96'!$D$14)/'1995-96'!$D$14</f>
        <v>0.2570039360963186</v>
      </c>
      <c r="E206" s="21">
        <f>('1995-96'!$L$14-'1995-96'!$E$14)/'1995-96'!$E$14</f>
        <v>0.2622185612300932</v>
      </c>
      <c r="F206" s="21">
        <f>('1995-96'!$M$14-'1995-96'!$F$14)/'1995-96'!$F$14</f>
        <v>0.266850068775791</v>
      </c>
      <c r="H206" s="5" t="s">
        <v>25</v>
      </c>
      <c r="I206" s="20">
        <f>SUM(I197:I205)</f>
        <v>4720</v>
      </c>
      <c r="J206" s="20">
        <f>SUM(J197:J205)</f>
        <v>2544</v>
      </c>
      <c r="K206" s="20">
        <f>SUM(K197:K205)</f>
        <v>2141</v>
      </c>
      <c r="L206" s="20">
        <f>SUM(L197:L205)</f>
        <v>157</v>
      </c>
      <c r="N206" s="27"/>
      <c r="O206" s="27"/>
      <c r="P206" s="27"/>
      <c r="Q206" s="27"/>
      <c r="R206" s="27"/>
      <c r="S206" s="27"/>
      <c r="T206" s="27"/>
      <c r="U206" s="27"/>
      <c r="V206" s="27"/>
    </row>
    <row r="207" spans="2:22" ht="9.75">
      <c r="B207" s="5"/>
      <c r="I207" s="20"/>
      <c r="J207" s="20"/>
      <c r="K207" s="20"/>
      <c r="L207" s="20"/>
      <c r="N207" s="27"/>
      <c r="O207" s="27"/>
      <c r="P207" s="27"/>
      <c r="Q207" s="27"/>
      <c r="R207" s="27"/>
      <c r="S207" s="27"/>
      <c r="T207" s="27"/>
      <c r="U207" s="27"/>
      <c r="V207" s="27"/>
    </row>
    <row r="208" spans="2:22" ht="9.75">
      <c r="B208" s="5" t="s">
        <v>26</v>
      </c>
      <c r="C208" s="21">
        <f>('1995-96'!$J$17-'1995-96'!$C$17)/'1995-96'!$C$17</f>
        <v>0.2676518883415436</v>
      </c>
      <c r="D208" s="21">
        <f>('1995-96'!$K$17-'1995-96'!$D$17)/'1995-96'!$D$17</f>
        <v>0.29933481152993346</v>
      </c>
      <c r="E208" s="21">
        <f>('1995-96'!$L$17-'1995-96'!$E$17)/'1995-96'!$E$17</f>
        <v>0.3333333333333335</v>
      </c>
      <c r="F208" s="21">
        <f>('1995-96'!$M$17-'1995-96'!$F$17)/'1995-96'!$F$17</f>
        <v>0.3551724137931033</v>
      </c>
      <c r="H208" s="5" t="s">
        <v>26</v>
      </c>
      <c r="I208" s="20">
        <f>201+34</f>
        <v>235</v>
      </c>
      <c r="J208" s="20">
        <f>120+63</f>
        <v>183</v>
      </c>
      <c r="K208" s="20">
        <f>86+75</f>
        <v>161</v>
      </c>
      <c r="L208" s="20">
        <f>44+49</f>
        <v>93</v>
      </c>
      <c r="N208" s="27">
        <f>SUM(N197:N207)</f>
        <v>359892.69999999995</v>
      </c>
      <c r="O208" s="27">
        <f>SUM(O197:O207)</f>
        <v>137959.30000000002</v>
      </c>
      <c r="P208" s="27">
        <f>SUM(P197:P207)</f>
        <v>98475.4</v>
      </c>
      <c r="Q208" s="27">
        <f>SUM(Q197:Q207)</f>
        <v>5448.3</v>
      </c>
      <c r="R208" s="27"/>
      <c r="S208" s="27">
        <f>SUM(S197:S207)</f>
        <v>440885.30000000005</v>
      </c>
      <c r="T208" s="27">
        <f>SUM(T197:T207)</f>
        <v>173157.80000000002</v>
      </c>
      <c r="U208" s="27">
        <f>SUM(U197:U207)</f>
        <v>124397.3</v>
      </c>
      <c r="V208" s="27">
        <f>SUM(V197:V207)</f>
        <v>6817.099999999999</v>
      </c>
    </row>
  </sheetData>
  <mergeCells count="78">
    <mergeCell ref="N4:V4"/>
    <mergeCell ref="B2:L2"/>
    <mergeCell ref="B3:B4"/>
    <mergeCell ref="C3:F3"/>
    <mergeCell ref="H3:H4"/>
    <mergeCell ref="I3:L3"/>
    <mergeCell ref="N20:V20"/>
    <mergeCell ref="B18:L18"/>
    <mergeCell ref="B19:B20"/>
    <mergeCell ref="C19:F19"/>
    <mergeCell ref="H19:H20"/>
    <mergeCell ref="I19:L19"/>
    <mergeCell ref="N68:V68"/>
    <mergeCell ref="B67:B68"/>
    <mergeCell ref="C67:F67"/>
    <mergeCell ref="H67:H68"/>
    <mergeCell ref="I67:L67"/>
    <mergeCell ref="C99:F99"/>
    <mergeCell ref="N84:V84"/>
    <mergeCell ref="N100:V100"/>
    <mergeCell ref="H99:H100"/>
    <mergeCell ref="I99:L99"/>
    <mergeCell ref="B114:L114"/>
    <mergeCell ref="H115:H116"/>
    <mergeCell ref="I115:L115"/>
    <mergeCell ref="C83:F83"/>
    <mergeCell ref="B83:B84"/>
    <mergeCell ref="B115:B116"/>
    <mergeCell ref="C115:F115"/>
    <mergeCell ref="H83:H84"/>
    <mergeCell ref="I83:L83"/>
    <mergeCell ref="B99:B100"/>
    <mergeCell ref="N116:V116"/>
    <mergeCell ref="N52:V52"/>
    <mergeCell ref="B50:L50"/>
    <mergeCell ref="B51:B52"/>
    <mergeCell ref="C51:F51"/>
    <mergeCell ref="H51:H52"/>
    <mergeCell ref="I51:L51"/>
    <mergeCell ref="B66:L66"/>
    <mergeCell ref="B82:L82"/>
    <mergeCell ref="B98:L98"/>
    <mergeCell ref="B130:L130"/>
    <mergeCell ref="B131:B132"/>
    <mergeCell ref="C131:F131"/>
    <mergeCell ref="H131:H132"/>
    <mergeCell ref="I131:L131"/>
    <mergeCell ref="B146:L146"/>
    <mergeCell ref="B147:B148"/>
    <mergeCell ref="C147:F147"/>
    <mergeCell ref="H147:H148"/>
    <mergeCell ref="I147:L147"/>
    <mergeCell ref="B162:L162"/>
    <mergeCell ref="B163:B164"/>
    <mergeCell ref="C163:F163"/>
    <mergeCell ref="H163:H164"/>
    <mergeCell ref="I163:L163"/>
    <mergeCell ref="B178:L178"/>
    <mergeCell ref="B179:B180"/>
    <mergeCell ref="C179:F179"/>
    <mergeCell ref="H179:H180"/>
    <mergeCell ref="I179:L179"/>
    <mergeCell ref="B194:L194"/>
    <mergeCell ref="B195:B196"/>
    <mergeCell ref="C195:F195"/>
    <mergeCell ref="H195:H196"/>
    <mergeCell ref="I195:L195"/>
    <mergeCell ref="N196:V196"/>
    <mergeCell ref="N132:V132"/>
    <mergeCell ref="N148:V148"/>
    <mergeCell ref="N164:V164"/>
    <mergeCell ref="N180:V180"/>
    <mergeCell ref="N36:V36"/>
    <mergeCell ref="B34:L34"/>
    <mergeCell ref="B35:B36"/>
    <mergeCell ref="C35:F35"/>
    <mergeCell ref="H35:H36"/>
    <mergeCell ref="I35:L35"/>
  </mergeCells>
  <printOptions/>
  <pageMargins left="0.75" right="0.75" top="1" bottom="1"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Q37"/>
  <sheetViews>
    <sheetView tabSelected="1" zoomScale="150" zoomScaleNormal="150" workbookViewId="0" topLeftCell="A1">
      <selection activeCell="C32" sqref="C32"/>
    </sheetView>
  </sheetViews>
  <sheetFormatPr defaultColWidth="9.14062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34</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7" ht="12">
      <c r="A5" s="5"/>
      <c r="B5" s="5" t="s">
        <v>50</v>
      </c>
      <c r="C5" s="10">
        <v>130.4</v>
      </c>
      <c r="D5" s="10">
        <v>86.6</v>
      </c>
      <c r="E5" s="10">
        <v>75</v>
      </c>
      <c r="F5" s="10" t="s">
        <v>52</v>
      </c>
      <c r="G5" s="11">
        <f>(C5*35+D5*30+E5*30)/95</f>
        <v>99.07368421052631</v>
      </c>
      <c r="H5" s="10" t="s">
        <v>52</v>
      </c>
      <c r="I5" s="1"/>
      <c r="J5" s="11">
        <v>157.6</v>
      </c>
      <c r="K5" s="11">
        <v>108.4</v>
      </c>
      <c r="L5" s="11">
        <v>94.9</v>
      </c>
      <c r="M5" s="11" t="s">
        <v>52</v>
      </c>
      <c r="N5" s="11">
        <f aca="true" t="shared" si="0" ref="N5:N12">(J5*35+K5*30+L5*30)/95</f>
        <v>122.26315789473684</v>
      </c>
      <c r="O5" s="10" t="s">
        <v>52</v>
      </c>
      <c r="Q5" s="42"/>
    </row>
    <row r="6" spans="1:17" ht="12">
      <c r="A6" s="5"/>
      <c r="B6" s="5" t="s">
        <v>51</v>
      </c>
      <c r="C6" s="10">
        <v>119.3</v>
      </c>
      <c r="D6" s="10">
        <v>74.1</v>
      </c>
      <c r="E6" s="10">
        <v>67.2</v>
      </c>
      <c r="F6" s="10" t="s">
        <v>52</v>
      </c>
      <c r="G6" s="11">
        <f aca="true" t="shared" si="1" ref="G6:G12">(C6*35+D6*30+E6*30)/95</f>
        <v>88.57368421052631</v>
      </c>
      <c r="H6" s="10" t="s">
        <v>52</v>
      </c>
      <c r="I6" s="1"/>
      <c r="J6" s="11">
        <v>155.5</v>
      </c>
      <c r="K6" s="11">
        <v>99.1</v>
      </c>
      <c r="L6" s="11">
        <v>90.6</v>
      </c>
      <c r="M6" s="11" t="s">
        <v>52</v>
      </c>
      <c r="N6" s="11">
        <f t="shared" si="0"/>
        <v>117.19473684210526</v>
      </c>
      <c r="O6" s="10" t="s">
        <v>52</v>
      </c>
      <c r="Q6" s="42"/>
    </row>
    <row r="7" spans="1:17" ht="12">
      <c r="A7" s="5"/>
      <c r="B7" s="5" t="s">
        <v>53</v>
      </c>
      <c r="C7" s="10">
        <v>128</v>
      </c>
      <c r="D7" s="10">
        <v>87.7</v>
      </c>
      <c r="E7" s="10">
        <v>71.1</v>
      </c>
      <c r="F7" s="10">
        <v>49.3</v>
      </c>
      <c r="G7" s="11">
        <f t="shared" si="1"/>
        <v>97.30526315789474</v>
      </c>
      <c r="H7" s="10">
        <f>(C7*35+D7*30+E7*30+F7*5)/100</f>
        <v>94.905</v>
      </c>
      <c r="I7" s="1"/>
      <c r="J7" s="11">
        <v>157.9</v>
      </c>
      <c r="K7" s="11">
        <v>111.4</v>
      </c>
      <c r="L7" s="11">
        <v>91.3</v>
      </c>
      <c r="M7" s="11">
        <v>63.2</v>
      </c>
      <c r="N7" s="11">
        <f t="shared" si="0"/>
        <v>122.1842105263158</v>
      </c>
      <c r="O7" s="10">
        <f>(J7*35+K7*30+L7*30+M7*5)/100</f>
        <v>119.235</v>
      </c>
      <c r="Q7" s="42"/>
    </row>
    <row r="8" spans="1:17" ht="12">
      <c r="A8" s="5"/>
      <c r="B8" s="5" t="s">
        <v>54</v>
      </c>
      <c r="C8" s="10">
        <v>109.8</v>
      </c>
      <c r="D8" s="10">
        <v>75.4</v>
      </c>
      <c r="E8" s="10">
        <v>65.8</v>
      </c>
      <c r="F8" s="10">
        <v>47.6</v>
      </c>
      <c r="G8" s="11">
        <f t="shared" si="1"/>
        <v>85.0421052631579</v>
      </c>
      <c r="H8" s="10">
        <f>(C8*35+D8*30+E8*30+F8*5)/100</f>
        <v>83.17</v>
      </c>
      <c r="I8" s="1"/>
      <c r="J8" s="11">
        <v>138.9</v>
      </c>
      <c r="K8" s="11">
        <v>96.1</v>
      </c>
      <c r="L8" s="11">
        <v>84.1</v>
      </c>
      <c r="M8" s="11">
        <v>60.9</v>
      </c>
      <c r="N8" s="11">
        <f t="shared" si="0"/>
        <v>108.07894736842105</v>
      </c>
      <c r="O8" s="10">
        <f>(J8*35+K8*30+L8*30+M8*5)/100</f>
        <v>105.72</v>
      </c>
      <c r="Q8" s="42"/>
    </row>
    <row r="9" spans="1:17" ht="12">
      <c r="A9" s="5"/>
      <c r="B9" s="5" t="s">
        <v>55</v>
      </c>
      <c r="C9" s="10">
        <v>126.8</v>
      </c>
      <c r="D9" s="10">
        <v>85.5</v>
      </c>
      <c r="E9" s="10">
        <v>71.8</v>
      </c>
      <c r="F9" s="10">
        <v>56</v>
      </c>
      <c r="G9" s="11">
        <f t="shared" si="1"/>
        <v>96.38947368421053</v>
      </c>
      <c r="H9" s="10">
        <f>(C9*35+D9*30+E9*30+F9*5)/100</f>
        <v>94.37</v>
      </c>
      <c r="I9" s="1"/>
      <c r="J9" s="11">
        <v>152.7</v>
      </c>
      <c r="K9" s="11">
        <v>105.6</v>
      </c>
      <c r="L9" s="11">
        <v>89.4</v>
      </c>
      <c r="M9" s="11">
        <v>70.9</v>
      </c>
      <c r="N9" s="11">
        <f t="shared" si="0"/>
        <v>117.83684210526316</v>
      </c>
      <c r="O9" s="10">
        <f>(J9*35+K9*30+L9*30+M9*5)/100</f>
        <v>115.49</v>
      </c>
      <c r="Q9" s="42"/>
    </row>
    <row r="10" spans="1:17" ht="12">
      <c r="A10" s="5"/>
      <c r="B10" s="5" t="s">
        <v>56</v>
      </c>
      <c r="C10" s="10">
        <v>109</v>
      </c>
      <c r="D10" s="10">
        <v>75.1</v>
      </c>
      <c r="E10" s="10">
        <v>66</v>
      </c>
      <c r="F10" s="10" t="s">
        <v>52</v>
      </c>
      <c r="G10" s="11">
        <f t="shared" si="1"/>
        <v>84.71578947368421</v>
      </c>
      <c r="H10" s="10" t="s">
        <v>52</v>
      </c>
      <c r="I10" s="1"/>
      <c r="J10" s="11">
        <v>138.1</v>
      </c>
      <c r="K10" s="11">
        <v>96.7</v>
      </c>
      <c r="L10" s="11">
        <v>83.7</v>
      </c>
      <c r="M10" s="11" t="s">
        <v>52</v>
      </c>
      <c r="N10" s="11">
        <f t="shared" si="0"/>
        <v>107.84736842105264</v>
      </c>
      <c r="O10" s="10" t="s">
        <v>52</v>
      </c>
      <c r="Q10" s="42"/>
    </row>
    <row r="11" spans="1:17" ht="12">
      <c r="A11" s="5"/>
      <c r="B11" s="5" t="s">
        <v>57</v>
      </c>
      <c r="C11" s="10">
        <v>106.8</v>
      </c>
      <c r="D11" s="10">
        <v>78</v>
      </c>
      <c r="E11" s="10">
        <v>67.5</v>
      </c>
      <c r="F11" s="10">
        <v>46.9</v>
      </c>
      <c r="G11" s="11">
        <f t="shared" si="1"/>
        <v>85.29473684210527</v>
      </c>
      <c r="H11" s="10">
        <f>(C11*35+D11*30+E11*30+F11*5)/100</f>
        <v>83.375</v>
      </c>
      <c r="I11" s="1"/>
      <c r="J11" s="11">
        <v>130.1</v>
      </c>
      <c r="K11" s="11">
        <v>97</v>
      </c>
      <c r="L11" s="11">
        <v>84.6</v>
      </c>
      <c r="M11" s="11">
        <v>60.3</v>
      </c>
      <c r="N11" s="11">
        <f t="shared" si="0"/>
        <v>105.27894736842106</v>
      </c>
      <c r="O11" s="10">
        <f>(J11*35+K11*30+L11*30+M11*5)/100</f>
        <v>103.03</v>
      </c>
      <c r="Q11" s="42"/>
    </row>
    <row r="12" spans="1:17" ht="12">
      <c r="A12" s="5"/>
      <c r="B12" s="5" t="s">
        <v>58</v>
      </c>
      <c r="C12" s="10">
        <v>108.9</v>
      </c>
      <c r="D12" s="10">
        <v>77.2</v>
      </c>
      <c r="E12" s="10">
        <v>70.9</v>
      </c>
      <c r="F12" s="10">
        <v>45.5</v>
      </c>
      <c r="G12" s="11">
        <f t="shared" si="1"/>
        <v>86.88947368421053</v>
      </c>
      <c r="H12" s="10">
        <f>(C12*35+D12*30+E12*30+F12*5)/100</f>
        <v>84.82</v>
      </c>
      <c r="I12" s="1"/>
      <c r="J12" s="11">
        <v>132.7</v>
      </c>
      <c r="K12" s="11">
        <v>95.1</v>
      </c>
      <c r="L12" s="11">
        <v>85.8</v>
      </c>
      <c r="M12" s="11">
        <v>57.3</v>
      </c>
      <c r="N12" s="11">
        <f t="shared" si="0"/>
        <v>106.01578947368421</v>
      </c>
      <c r="O12" s="10">
        <f>(J12*35+K12*30+L12*30+M12*5)/100</f>
        <v>103.58</v>
      </c>
      <c r="Q12" s="42"/>
    </row>
    <row r="13" spans="1:15" ht="12">
      <c r="A13" s="5"/>
      <c r="B13" s="5"/>
      <c r="C13" s="10"/>
      <c r="D13" s="10"/>
      <c r="E13" s="10"/>
      <c r="F13" s="10"/>
      <c r="G13" s="6"/>
      <c r="H13" s="10"/>
      <c r="I13" s="1"/>
      <c r="J13" s="6"/>
      <c r="K13" s="6"/>
      <c r="L13" s="6"/>
      <c r="M13" s="6"/>
      <c r="N13" s="6"/>
      <c r="O13" s="10"/>
    </row>
    <row r="14" spans="1:17" ht="12">
      <c r="A14" s="5"/>
      <c r="B14" s="5" t="s">
        <v>59</v>
      </c>
      <c r="C14" s="10">
        <f>AVERAGE(C5:C12)</f>
        <v>117.37499999999999</v>
      </c>
      <c r="D14" s="10">
        <f>AVERAGE(D5:D12)</f>
        <v>79.95</v>
      </c>
      <c r="E14" s="10">
        <f>AVERAGE(E5:E12)</f>
        <v>69.4125</v>
      </c>
      <c r="F14" s="10">
        <f>AVERAGE(F5:F12)</f>
        <v>49.06</v>
      </c>
      <c r="G14" s="11">
        <f>(C14*35+D14*30+E14*30)/95</f>
        <v>90.41052631578947</v>
      </c>
      <c r="H14" s="10">
        <f>(C14*35+D14*30+E14*30+F14*5)/100</f>
        <v>88.34299999999999</v>
      </c>
      <c r="I14" s="1"/>
      <c r="J14" s="10">
        <f>AVERAGE(J5:J12)</f>
        <v>145.4375</v>
      </c>
      <c r="K14" s="10">
        <f>AVERAGE(K5:K12)</f>
        <v>101.17500000000001</v>
      </c>
      <c r="L14" s="10">
        <f>AVERAGE(L5:L12)</f>
        <v>88.05</v>
      </c>
      <c r="M14" s="10">
        <f>AVERAGE(M5:M12)</f>
        <v>62.52</v>
      </c>
      <c r="N14" s="11">
        <f>(J14*35+K14*30+L14*30)/95</f>
        <v>113.3375</v>
      </c>
      <c r="O14" s="10">
        <f>(J14*35+K14*30+L14*30+M14*5)/100</f>
        <v>110.796625</v>
      </c>
      <c r="Q14" s="42"/>
    </row>
    <row r="15" spans="1:15" ht="12">
      <c r="A15" s="5"/>
      <c r="B15" s="5" t="s">
        <v>60</v>
      </c>
      <c r="C15" s="10">
        <f>Ratios!N32/Ratios!I30</f>
        <v>117.95187487467415</v>
      </c>
      <c r="D15" s="10">
        <f>Ratios!O32/Ratios!J30</f>
        <v>80.24439415041783</v>
      </c>
      <c r="E15" s="10">
        <f>Ratios!P32/Ratios!K30</f>
        <v>70.02920459042343</v>
      </c>
      <c r="F15" s="10">
        <f>Ratios!Q32/Ratios!L30</f>
        <v>46.73148148148148</v>
      </c>
      <c r="G15" s="11">
        <f>(C15*35+D15*30+E15*30)/95</f>
        <v>90.91077455619825</v>
      </c>
      <c r="H15" s="10">
        <f>(C15*35+D15*30+E15*30+F15*5)/100</f>
        <v>88.70180990246241</v>
      </c>
      <c r="I15" s="9"/>
      <c r="J15" s="11">
        <f>Ratios!S32/Ratios!I30</f>
        <v>145.67395227591737</v>
      </c>
      <c r="K15" s="11">
        <f>Ratios!T32/Ratios!J30</f>
        <v>101.1526462395543</v>
      </c>
      <c r="L15" s="11">
        <f>Ratios!U32/Ratios!K30</f>
        <v>88.36739216462209</v>
      </c>
      <c r="M15" s="11">
        <f>Ratios!V32/Ratios!L30</f>
        <v>59.16234567901234</v>
      </c>
      <c r="N15" s="11">
        <f>(J15*35+K15*30+L15*30)/95</f>
        <v>113.5177840187621</v>
      </c>
      <c r="O15" s="10">
        <f>(J15*35+K15*30+L15*30+M15*5)/100</f>
        <v>110.80001210177461</v>
      </c>
    </row>
    <row r="16" spans="1:15" ht="12">
      <c r="A16" s="5"/>
      <c r="B16" s="5"/>
      <c r="C16" s="10"/>
      <c r="D16" s="10"/>
      <c r="E16" s="10"/>
      <c r="F16" s="10"/>
      <c r="G16" s="11"/>
      <c r="H16" s="10"/>
      <c r="I16" s="9"/>
      <c r="J16" s="6"/>
      <c r="K16" s="6"/>
      <c r="L16" s="6"/>
      <c r="M16" s="6"/>
      <c r="N16" s="11"/>
      <c r="O16" s="10"/>
    </row>
    <row r="17" spans="1:15" ht="12">
      <c r="A17" s="5"/>
      <c r="B17" s="5" t="s">
        <v>61</v>
      </c>
      <c r="C17" s="10">
        <v>88.3</v>
      </c>
      <c r="D17" s="10">
        <v>62.1</v>
      </c>
      <c r="E17" s="10">
        <v>60</v>
      </c>
      <c r="F17" s="10">
        <v>40.8</v>
      </c>
      <c r="G17" s="11">
        <f>(C17*35+D17*30+E17*30)/95</f>
        <v>71.08947368421053</v>
      </c>
      <c r="H17" s="10">
        <f>(C17*35+D17*30+E17*30+F17*5)/100</f>
        <v>69.575</v>
      </c>
      <c r="I17" s="9"/>
      <c r="J17" s="6">
        <v>122.2</v>
      </c>
      <c r="K17" s="6">
        <v>89.1</v>
      </c>
      <c r="L17" s="11">
        <v>83.8</v>
      </c>
      <c r="M17" s="6">
        <v>62.3</v>
      </c>
      <c r="N17" s="11">
        <f>(J17*35+K17*30+L17*30)/95</f>
        <v>99.62105263157895</v>
      </c>
      <c r="O17" s="10">
        <f>(J17*35+K17*30+L17*30+M17*5)/100</f>
        <v>97.755</v>
      </c>
    </row>
    <row r="18" spans="1:15" ht="12">
      <c r="A18" s="5"/>
      <c r="B18" s="5" t="s">
        <v>3</v>
      </c>
      <c r="C18" s="10">
        <v>95.3</v>
      </c>
      <c r="D18" s="10">
        <v>66.8</v>
      </c>
      <c r="E18" s="10">
        <v>63.4</v>
      </c>
      <c r="F18" s="10">
        <v>43.8</v>
      </c>
      <c r="G18" s="11">
        <f>(C18*35+D18*30+E18*30)/95</f>
        <v>76.22631578947369</v>
      </c>
      <c r="H18" s="10">
        <f>(C18*35+D18*30+E18*30+F18*5)/100</f>
        <v>74.605</v>
      </c>
      <c r="I18" s="9"/>
      <c r="J18" s="6">
        <v>132.6</v>
      </c>
      <c r="K18" s="6">
        <v>97.1</v>
      </c>
      <c r="L18" s="11">
        <v>91.4</v>
      </c>
      <c r="M18" s="6">
        <v>66.6</v>
      </c>
      <c r="N18" s="11">
        <f>(J18*35+K18*30+L18*30)/95</f>
        <v>108.37894736842105</v>
      </c>
      <c r="O18" s="10">
        <f>(J18*35+K18*30+L18*30+M18*5)/100</f>
        <v>106.29</v>
      </c>
    </row>
    <row r="19" spans="1:15" ht="12">
      <c r="A19" s="5"/>
      <c r="B19" s="5" t="s">
        <v>36</v>
      </c>
      <c r="C19" s="3">
        <v>0.079</v>
      </c>
      <c r="D19" s="3">
        <v>0.074</v>
      </c>
      <c r="E19" s="3">
        <v>0.059</v>
      </c>
      <c r="F19" s="3">
        <v>0.064</v>
      </c>
      <c r="G19" s="11" t="s">
        <v>52</v>
      </c>
      <c r="H19" s="10" t="s">
        <v>52</v>
      </c>
      <c r="I19" s="9"/>
      <c r="J19" s="6" t="s">
        <v>52</v>
      </c>
      <c r="K19" s="6" t="s">
        <v>52</v>
      </c>
      <c r="L19" s="11" t="s">
        <v>52</v>
      </c>
      <c r="M19" s="6" t="s">
        <v>52</v>
      </c>
      <c r="N19" s="11" t="s">
        <v>52</v>
      </c>
      <c r="O19" s="10" t="s">
        <v>52</v>
      </c>
    </row>
    <row r="20" spans="1:15" ht="12">
      <c r="A20" s="5"/>
      <c r="B20" s="5"/>
      <c r="C20" s="10"/>
      <c r="D20" s="10"/>
      <c r="E20" s="10"/>
      <c r="F20" s="10"/>
      <c r="G20" s="6"/>
      <c r="H20" s="10"/>
      <c r="I20" s="9"/>
      <c r="J20" s="6"/>
      <c r="K20" s="6"/>
      <c r="L20" s="6"/>
      <c r="M20" s="6"/>
      <c r="N20" s="6"/>
      <c r="O20" s="6"/>
    </row>
    <row r="21" spans="1:15" ht="12">
      <c r="A21" s="5"/>
      <c r="B21" s="12" t="s">
        <v>62</v>
      </c>
      <c r="C21" s="2">
        <f aca="true" t="shared" si="2" ref="C21:H21">C18/C14</f>
        <v>0.8119275825346114</v>
      </c>
      <c r="D21" s="2">
        <f t="shared" si="2"/>
        <v>0.8355222013758599</v>
      </c>
      <c r="E21" s="2">
        <f t="shared" si="2"/>
        <v>0.9133801548712408</v>
      </c>
      <c r="F21" s="2">
        <f t="shared" si="2"/>
        <v>0.8927843456991438</v>
      </c>
      <c r="G21" s="2">
        <f t="shared" si="2"/>
        <v>0.8431132844335779</v>
      </c>
      <c r="H21" s="2">
        <f t="shared" si="2"/>
        <v>0.8444924895011491</v>
      </c>
      <c r="I21" s="13"/>
      <c r="J21" s="2">
        <f aca="true" t="shared" si="3" ref="J21:O21">J18/J14</f>
        <v>0.9117318435754189</v>
      </c>
      <c r="K21" s="2">
        <f t="shared" si="3"/>
        <v>0.9597232517914502</v>
      </c>
      <c r="L21" s="2">
        <f t="shared" si="3"/>
        <v>1.038046564452016</v>
      </c>
      <c r="M21" s="2">
        <f t="shared" si="3"/>
        <v>1.0652591170825334</v>
      </c>
      <c r="N21" s="2">
        <f t="shared" si="3"/>
        <v>0.9562496734833664</v>
      </c>
      <c r="O21" s="2">
        <f t="shared" si="3"/>
        <v>0.9593252502050491</v>
      </c>
    </row>
    <row r="22" spans="1:15" ht="12">
      <c r="A22" s="5"/>
      <c r="B22" s="5"/>
      <c r="C22" s="10"/>
      <c r="D22" s="10"/>
      <c r="E22" s="10"/>
      <c r="F22" s="10"/>
      <c r="G22" s="6"/>
      <c r="H22" s="6"/>
      <c r="I22" s="9"/>
      <c r="J22" s="6"/>
      <c r="K22" s="6"/>
      <c r="L22" s="6"/>
      <c r="M22" s="6"/>
      <c r="N22" s="6"/>
      <c r="O22" s="14"/>
    </row>
    <row r="23" spans="1:15" ht="12">
      <c r="A23" s="5"/>
      <c r="B23" s="5" t="s">
        <v>63</v>
      </c>
      <c r="C23" s="3">
        <f>'2005-06'!C19</f>
        <v>0.7872959069559383</v>
      </c>
      <c r="D23" s="3">
        <f>'2005-06'!D19</f>
        <v>0.8325911265050304</v>
      </c>
      <c r="E23" s="3">
        <f>'2005-06'!E19</f>
        <v>0.8638426626323753</v>
      </c>
      <c r="F23" s="3">
        <f>'2005-06'!F19</f>
        <v>0.7679050172347761</v>
      </c>
      <c r="G23" s="3">
        <f>'2005-06'!G19</f>
        <v>0.8184850803366488</v>
      </c>
      <c r="H23" s="3">
        <f>'2005-06'!H19</f>
        <v>0.8169184505062367</v>
      </c>
      <c r="I23" s="4"/>
      <c r="J23" s="3">
        <f>'2005-06'!J19</f>
        <v>0.8747744496571636</v>
      </c>
      <c r="K23" s="3">
        <f>'2005-06'!K19</f>
        <v>0.9364131845315339</v>
      </c>
      <c r="L23" s="3">
        <f>'2005-06'!L19</f>
        <v>0.9563927617917533</v>
      </c>
      <c r="M23" s="3">
        <f>'2005-06'!M19</f>
        <v>0.9127819548872182</v>
      </c>
      <c r="N23" s="3">
        <f>'2005-06'!N19</f>
        <v>0.9122208965399695</v>
      </c>
      <c r="O23" s="3">
        <f>'2005-06'!O19</f>
        <v>0.912238496190948</v>
      </c>
    </row>
    <row r="24" spans="1:15" ht="12">
      <c r="A24" s="5"/>
      <c r="B24" s="5"/>
      <c r="C24" s="10"/>
      <c r="D24" s="10"/>
      <c r="E24" s="10"/>
      <c r="F24" s="6"/>
      <c r="G24" s="6"/>
      <c r="H24" s="6"/>
      <c r="I24" s="9"/>
      <c r="J24" s="6"/>
      <c r="K24" s="6"/>
      <c r="L24" s="6"/>
      <c r="M24" s="6"/>
      <c r="N24" s="6"/>
      <c r="O24" s="14"/>
    </row>
    <row r="25" spans="1:15" ht="12">
      <c r="A25" s="5"/>
      <c r="B25" s="5" t="s">
        <v>64</v>
      </c>
      <c r="C25" s="14">
        <f aca="true" t="shared" si="4" ref="C25:H25">C21-C23</f>
        <v>0.024631675578673073</v>
      </c>
      <c r="D25" s="14">
        <f t="shared" si="4"/>
        <v>0.002931074870829442</v>
      </c>
      <c r="E25" s="14">
        <f t="shared" si="4"/>
        <v>0.0495374922388655</v>
      </c>
      <c r="F25" s="14">
        <f t="shared" si="4"/>
        <v>0.12487932846436767</v>
      </c>
      <c r="G25" s="14">
        <f t="shared" si="4"/>
        <v>0.02462820409692912</v>
      </c>
      <c r="H25" s="14">
        <f t="shared" si="4"/>
        <v>0.027574038994912398</v>
      </c>
      <c r="I25" s="9"/>
      <c r="J25" s="14">
        <f aca="true" t="shared" si="5" ref="J25:O25">J21-J23</f>
        <v>0.036957393918255366</v>
      </c>
      <c r="K25" s="14">
        <f t="shared" si="5"/>
        <v>0.023310067259916356</v>
      </c>
      <c r="L25" s="14">
        <f t="shared" si="5"/>
        <v>0.08165380266026279</v>
      </c>
      <c r="M25" s="14">
        <f t="shared" si="5"/>
        <v>0.15247716219531515</v>
      </c>
      <c r="N25" s="14">
        <f t="shared" si="5"/>
        <v>0.04402877694339691</v>
      </c>
      <c r="O25" s="14">
        <f t="shared" si="5"/>
        <v>0.04708675401410112</v>
      </c>
    </row>
    <row r="26" spans="1:15" ht="12">
      <c r="A26" s="5"/>
      <c r="B26" s="5"/>
      <c r="C26" s="6"/>
      <c r="D26" s="6"/>
      <c r="E26" s="6"/>
      <c r="F26" s="6"/>
      <c r="G26" s="6"/>
      <c r="H26" s="6"/>
      <c r="I26" s="9"/>
      <c r="J26" s="6"/>
      <c r="K26" s="6"/>
      <c r="L26" s="6"/>
      <c r="M26" s="6"/>
      <c r="N26" s="6"/>
      <c r="O26" s="6"/>
    </row>
    <row r="27" spans="1:15" ht="12">
      <c r="A27" s="15"/>
      <c r="B27" s="15" t="s">
        <v>65</v>
      </c>
      <c r="C27" s="15"/>
      <c r="D27" s="15"/>
      <c r="E27" s="15"/>
      <c r="F27" s="15"/>
      <c r="G27" s="15"/>
      <c r="H27" s="15"/>
      <c r="I27" s="15"/>
      <c r="J27" s="15"/>
      <c r="K27" s="15"/>
      <c r="L27" s="15"/>
      <c r="M27" s="15"/>
      <c r="N27" s="15"/>
      <c r="O27" s="15"/>
    </row>
    <row r="28" spans="1:15" ht="12">
      <c r="A28" s="15"/>
      <c r="B28" s="15" t="s">
        <v>66</v>
      </c>
      <c r="C28" s="16"/>
      <c r="D28" s="16"/>
      <c r="E28" s="16"/>
      <c r="F28" s="16"/>
      <c r="G28" s="16"/>
      <c r="H28" s="16"/>
      <c r="I28" s="16"/>
      <c r="J28" s="16"/>
      <c r="K28" s="16"/>
      <c r="L28" s="16"/>
      <c r="M28" s="16"/>
      <c r="N28" s="16"/>
      <c r="O28" s="16"/>
    </row>
    <row r="29" spans="1:15" ht="34.5" customHeight="1">
      <c r="A29" s="15"/>
      <c r="B29" s="43" t="s">
        <v>67</v>
      </c>
      <c r="C29" s="43"/>
      <c r="D29" s="43"/>
      <c r="E29" s="43"/>
      <c r="F29" s="43"/>
      <c r="G29" s="43"/>
      <c r="H29" s="43"/>
      <c r="I29" s="43"/>
      <c r="J29" s="43"/>
      <c r="K29" s="43"/>
      <c r="L29" s="43"/>
      <c r="M29" s="43"/>
      <c r="N29" s="43"/>
      <c r="O29" s="43"/>
    </row>
    <row r="30" spans="1:15" ht="12">
      <c r="A30" s="15"/>
      <c r="B30" s="15" t="s">
        <v>0</v>
      </c>
      <c r="C30" s="16"/>
      <c r="D30" s="16"/>
      <c r="E30" s="16"/>
      <c r="F30" s="16"/>
      <c r="G30" s="16"/>
      <c r="H30" s="16"/>
      <c r="I30" s="16"/>
      <c r="J30" s="16"/>
      <c r="K30" s="16"/>
      <c r="L30" s="16"/>
      <c r="M30" s="16"/>
      <c r="N30" s="16"/>
      <c r="O30" s="16"/>
    </row>
    <row r="31" spans="1:15" ht="12">
      <c r="A31" s="15"/>
      <c r="B31" s="15" t="s">
        <v>32</v>
      </c>
      <c r="C31" s="16"/>
      <c r="D31" s="16"/>
      <c r="E31" s="16"/>
      <c r="F31" s="16"/>
      <c r="G31" s="16"/>
      <c r="H31" s="16"/>
      <c r="I31" s="16"/>
      <c r="J31" s="16"/>
      <c r="K31" s="16"/>
      <c r="L31" s="16"/>
      <c r="M31" s="16"/>
      <c r="N31" s="16"/>
      <c r="O31" s="16"/>
    </row>
    <row r="32" ht="12">
      <c r="D32" s="41"/>
    </row>
    <row r="34" spans="4:7" ht="12">
      <c r="D34" s="40"/>
      <c r="E34" s="40"/>
      <c r="F34" s="40"/>
      <c r="G34" s="40"/>
    </row>
    <row r="35" spans="4:7" ht="12">
      <c r="D35" s="40"/>
      <c r="E35" s="40"/>
      <c r="F35" s="40"/>
      <c r="G35" s="40"/>
    </row>
    <row r="37" spans="3:6" ht="12">
      <c r="C37" s="30"/>
      <c r="D37" s="30"/>
      <c r="E37" s="30"/>
      <c r="F37" s="30"/>
    </row>
  </sheetData>
  <mergeCells count="5">
    <mergeCell ref="B29:O29"/>
    <mergeCell ref="C1:H1"/>
    <mergeCell ref="J1:O1"/>
    <mergeCell ref="C2:H2"/>
    <mergeCell ref="J2:O2"/>
  </mergeCells>
  <printOptions/>
  <pageMargins left="0.75" right="0.75" top="1" bottom="1" header="0.5" footer="0.5"/>
  <pageSetup horizontalDpi="600" verticalDpi="600" orientation="landscape" scale="90"/>
</worksheet>
</file>

<file path=xl/worksheets/sheet3.xml><?xml version="1.0" encoding="utf-8"?>
<worksheet xmlns="http://schemas.openxmlformats.org/spreadsheetml/2006/main" xmlns:r="http://schemas.openxmlformats.org/officeDocument/2006/relationships">
  <dimension ref="A1:K38"/>
  <sheetViews>
    <sheetView zoomScale="125" zoomScaleNormal="125" workbookViewId="0" topLeftCell="A1">
      <selection activeCell="O26" sqref="O26"/>
    </sheetView>
  </sheetViews>
  <sheetFormatPr defaultColWidth="11.421875" defaultRowHeight="12.75"/>
  <cols>
    <col min="1" max="1" width="6.28125" style="31" customWidth="1"/>
    <col min="2" max="16384" width="8.8515625" style="0" customWidth="1"/>
  </cols>
  <sheetData>
    <row r="1" spans="2:5" ht="12">
      <c r="B1" s="32" t="s">
        <v>44</v>
      </c>
      <c r="C1" s="32" t="s">
        <v>45</v>
      </c>
      <c r="D1" s="32" t="s">
        <v>46</v>
      </c>
      <c r="E1" s="32" t="s">
        <v>29</v>
      </c>
    </row>
    <row r="2" spans="1:7" ht="12">
      <c r="A2" s="31" t="s">
        <v>5</v>
      </c>
      <c r="B2" s="33">
        <v>83.57741244646006</v>
      </c>
      <c r="C2" s="33">
        <v>88.98089662399445</v>
      </c>
      <c r="D2" s="33">
        <v>93.89165810042861</v>
      </c>
      <c r="E2" s="33">
        <v>87.57776227784431</v>
      </c>
      <c r="G2" s="33"/>
    </row>
    <row r="3" spans="1:7" ht="12">
      <c r="A3" s="31" t="s">
        <v>4</v>
      </c>
      <c r="B3" s="33">
        <v>84.94439970096104</v>
      </c>
      <c r="C3" s="33">
        <v>90.04535231785967</v>
      </c>
      <c r="D3" s="33">
        <v>95.64347117188177</v>
      </c>
      <c r="E3" s="33">
        <v>88.97015727572105</v>
      </c>
      <c r="G3" s="33"/>
    </row>
    <row r="4" spans="1:7" ht="12">
      <c r="A4" s="31" t="s">
        <v>2</v>
      </c>
      <c r="B4" s="33">
        <v>84.65295269873452</v>
      </c>
      <c r="C4" s="33">
        <v>90.23786174415687</v>
      </c>
      <c r="D4" s="33">
        <v>91.46225165562915</v>
      </c>
      <c r="E4" s="33">
        <v>87.89268157645316</v>
      </c>
      <c r="G4" s="33"/>
    </row>
    <row r="5" spans="1:7" ht="12">
      <c r="A5" s="31" t="s">
        <v>1</v>
      </c>
      <c r="B5" s="33">
        <v>84.8906945250532</v>
      </c>
      <c r="C5" s="33">
        <v>89.31931377974544</v>
      </c>
      <c r="D5" s="33">
        <v>92.70883631096088</v>
      </c>
      <c r="E5" s="33">
        <v>88.05061040964107</v>
      </c>
      <c r="G5" s="33"/>
    </row>
    <row r="6" spans="1:7" ht="12">
      <c r="A6" s="31" t="s">
        <v>43</v>
      </c>
      <c r="B6" s="33">
        <v>82.48270704804635</v>
      </c>
      <c r="C6" s="33">
        <v>87.30991791145202</v>
      </c>
      <c r="D6" s="33">
        <v>92.04968944099379</v>
      </c>
      <c r="E6" s="33">
        <v>86.1819469742967</v>
      </c>
      <c r="G6" s="33"/>
    </row>
    <row r="7" spans="1:7" ht="12">
      <c r="A7" s="31" t="s">
        <v>28</v>
      </c>
      <c r="B7" s="36">
        <v>87.5</v>
      </c>
      <c r="C7" s="36">
        <v>93.6</v>
      </c>
      <c r="D7" s="36">
        <v>95.6</v>
      </c>
      <c r="E7" s="36">
        <v>91.2</v>
      </c>
      <c r="G7" s="36"/>
    </row>
    <row r="8" spans="1:5" ht="12">
      <c r="A8" s="31" t="s">
        <v>34</v>
      </c>
      <c r="B8" s="36">
        <v>91.2</v>
      </c>
      <c r="C8" s="35">
        <v>96</v>
      </c>
      <c r="D8" s="36">
        <v>103.8</v>
      </c>
      <c r="E8" s="36">
        <v>95.6</v>
      </c>
    </row>
    <row r="9" spans="1:5" ht="12">
      <c r="A9" s="31" t="s">
        <v>37</v>
      </c>
      <c r="B9" s="33">
        <v>90.7</v>
      </c>
      <c r="C9" s="35">
        <v>94.7</v>
      </c>
      <c r="D9" s="33">
        <v>101.8</v>
      </c>
      <c r="E9" s="33">
        <v>94.6</v>
      </c>
    </row>
    <row r="25" s="31" customFormat="1" ht="11.25" customHeight="1"/>
    <row r="26" s="31" customFormat="1" ht="9.75"/>
    <row r="27" s="31" customFormat="1" ht="11.25" customHeight="1"/>
    <row r="28" s="31" customFormat="1" ht="9.75"/>
    <row r="33" ht="12">
      <c r="B33" s="34" t="s">
        <v>31</v>
      </c>
    </row>
    <row r="34" spans="1:11" ht="12">
      <c r="A34" s="47"/>
      <c r="B34" s="48" t="s">
        <v>30</v>
      </c>
      <c r="C34" s="48"/>
      <c r="D34" s="48"/>
      <c r="E34" s="48"/>
      <c r="F34" s="48"/>
      <c r="G34" s="48"/>
      <c r="H34" s="48"/>
      <c r="I34" s="48"/>
      <c r="J34" s="48"/>
      <c r="K34" s="48"/>
    </row>
    <row r="35" spans="1:11" ht="21.75" customHeight="1">
      <c r="A35" s="47"/>
      <c r="B35" s="48"/>
      <c r="C35" s="48"/>
      <c r="D35" s="48"/>
      <c r="E35" s="48"/>
      <c r="F35" s="48"/>
      <c r="G35" s="48"/>
      <c r="H35" s="48"/>
      <c r="I35" s="48"/>
      <c r="J35" s="48"/>
      <c r="K35" s="48"/>
    </row>
    <row r="36" spans="1:11" ht="12">
      <c r="A36" s="32"/>
      <c r="B36" s="48" t="s">
        <v>35</v>
      </c>
      <c r="C36" s="48"/>
      <c r="D36" s="48"/>
      <c r="E36" s="48"/>
      <c r="F36" s="48"/>
      <c r="G36" s="48"/>
      <c r="H36" s="48"/>
      <c r="I36" s="48"/>
      <c r="J36" s="48"/>
      <c r="K36" s="48"/>
    </row>
    <row r="37" spans="1:11" ht="12">
      <c r="A37" s="32"/>
      <c r="B37" s="48" t="s">
        <v>33</v>
      </c>
      <c r="C37" s="48"/>
      <c r="D37" s="48"/>
      <c r="E37" s="48"/>
      <c r="F37" s="48"/>
      <c r="G37" s="48"/>
      <c r="H37" s="48"/>
      <c r="I37" s="48"/>
      <c r="J37" s="48"/>
      <c r="K37" s="48"/>
    </row>
    <row r="38" spans="2:11" ht="12">
      <c r="B38" s="46" t="s">
        <v>32</v>
      </c>
      <c r="C38" s="46"/>
      <c r="D38" s="46"/>
      <c r="E38" s="46"/>
      <c r="F38" s="46"/>
      <c r="G38" s="46"/>
      <c r="H38" s="46"/>
      <c r="I38" s="46"/>
      <c r="J38" s="46"/>
      <c r="K38" s="46"/>
    </row>
  </sheetData>
  <mergeCells count="5">
    <mergeCell ref="B38:K38"/>
    <mergeCell ref="A34:A35"/>
    <mergeCell ref="B34:K35"/>
    <mergeCell ref="B36:K36"/>
    <mergeCell ref="B37:K37"/>
  </mergeCells>
  <printOptions/>
  <pageMargins left="0.75" right="0.75" top="0.5" bottom="0.5"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K39"/>
  <sheetViews>
    <sheetView zoomScale="125" zoomScaleNormal="125" workbookViewId="0" topLeftCell="A1">
      <selection activeCell="A1" sqref="A1"/>
    </sheetView>
  </sheetViews>
  <sheetFormatPr defaultColWidth="11.421875" defaultRowHeight="12.75"/>
  <cols>
    <col min="1" max="1" width="6.28125" style="31" customWidth="1"/>
    <col min="2" max="16384" width="8.8515625" style="0" customWidth="1"/>
  </cols>
  <sheetData>
    <row r="1" spans="2:5" ht="12">
      <c r="B1" s="32" t="s">
        <v>44</v>
      </c>
      <c r="C1" s="32" t="s">
        <v>45</v>
      </c>
      <c r="D1" s="32" t="s">
        <v>46</v>
      </c>
      <c r="E1" s="32" t="s">
        <v>29</v>
      </c>
    </row>
    <row r="2" spans="1:5" ht="12">
      <c r="A2" s="31" t="s">
        <v>5</v>
      </c>
      <c r="B2" s="33">
        <v>80.2</v>
      </c>
      <c r="C2" s="33">
        <v>85.2</v>
      </c>
      <c r="D2" s="33">
        <v>88.6</v>
      </c>
      <c r="E2" s="33">
        <v>83.6</v>
      </c>
    </row>
    <row r="3" spans="1:5" ht="12">
      <c r="A3" s="31" t="s">
        <v>4</v>
      </c>
      <c r="B3" s="33">
        <v>81.4</v>
      </c>
      <c r="C3" s="33">
        <v>86.4</v>
      </c>
      <c r="D3" s="33">
        <v>80.5</v>
      </c>
      <c r="E3" s="33">
        <v>85</v>
      </c>
    </row>
    <row r="4" spans="1:5" ht="12">
      <c r="A4" s="31" t="s">
        <v>2</v>
      </c>
      <c r="B4" s="33">
        <v>80.4</v>
      </c>
      <c r="C4" s="33">
        <v>85.3</v>
      </c>
      <c r="D4" s="33">
        <v>85</v>
      </c>
      <c r="E4" s="33">
        <v>82.9</v>
      </c>
    </row>
    <row r="5" spans="1:5" ht="12">
      <c r="A5" s="31" t="s">
        <v>1</v>
      </c>
      <c r="B5" s="38">
        <v>79.3</v>
      </c>
      <c r="C5" s="38">
        <v>83.2</v>
      </c>
      <c r="D5" s="38">
        <v>85.9</v>
      </c>
      <c r="E5" s="38">
        <v>82</v>
      </c>
    </row>
    <row r="6" spans="1:5" ht="12">
      <c r="A6" s="31" t="s">
        <v>43</v>
      </c>
      <c r="B6" s="38">
        <v>77.3</v>
      </c>
      <c r="C6" s="38">
        <v>80.3</v>
      </c>
      <c r="D6" s="38">
        <v>85.6</v>
      </c>
      <c r="E6" s="38">
        <v>80.1</v>
      </c>
    </row>
    <row r="7" spans="1:5" ht="12">
      <c r="A7" s="31" t="s">
        <v>28</v>
      </c>
      <c r="B7" s="36">
        <v>78.7</v>
      </c>
      <c r="C7" s="36">
        <v>83.3</v>
      </c>
      <c r="D7" s="36">
        <v>86.4</v>
      </c>
      <c r="E7" s="36">
        <v>81.8</v>
      </c>
    </row>
    <row r="8" spans="1:5" ht="12">
      <c r="A8" s="31" t="s">
        <v>34</v>
      </c>
      <c r="B8" s="36">
        <v>81.2</v>
      </c>
      <c r="C8" s="36">
        <v>83.6</v>
      </c>
      <c r="D8" s="36">
        <v>91.3</v>
      </c>
      <c r="E8" s="36">
        <v>84.3</v>
      </c>
    </row>
    <row r="9" spans="1:5" ht="12">
      <c r="A9" s="31" t="s">
        <v>37</v>
      </c>
      <c r="B9" s="36">
        <v>81.4</v>
      </c>
      <c r="C9" s="36">
        <v>83.3</v>
      </c>
      <c r="D9" s="36">
        <v>91.9</v>
      </c>
      <c r="E9" s="36">
        <v>84.5</v>
      </c>
    </row>
    <row r="32" ht="12">
      <c r="B32" s="34" t="s">
        <v>31</v>
      </c>
    </row>
    <row r="33" spans="1:11" ht="12">
      <c r="A33" s="47"/>
      <c r="B33" s="48" t="s">
        <v>30</v>
      </c>
      <c r="C33" s="48"/>
      <c r="D33" s="48"/>
      <c r="E33" s="48"/>
      <c r="F33" s="48"/>
      <c r="G33" s="48"/>
      <c r="H33" s="48"/>
      <c r="I33" s="48"/>
      <c r="J33" s="48"/>
      <c r="K33" s="48"/>
    </row>
    <row r="34" spans="1:11" ht="21.75" customHeight="1">
      <c r="A34" s="47"/>
      <c r="B34" s="48"/>
      <c r="C34" s="48"/>
      <c r="D34" s="48"/>
      <c r="E34" s="48"/>
      <c r="F34" s="48"/>
      <c r="G34" s="48"/>
      <c r="H34" s="48"/>
      <c r="I34" s="48"/>
      <c r="J34" s="48"/>
      <c r="K34" s="48"/>
    </row>
    <row r="35" spans="1:11" ht="12.75" customHeight="1">
      <c r="A35" s="32"/>
      <c r="B35" s="48" t="s">
        <v>35</v>
      </c>
      <c r="C35" s="48"/>
      <c r="D35" s="48"/>
      <c r="E35" s="48"/>
      <c r="F35" s="48"/>
      <c r="G35" s="48"/>
      <c r="H35" s="48"/>
      <c r="I35" s="48"/>
      <c r="J35" s="48"/>
      <c r="K35" s="48"/>
    </row>
    <row r="36" spans="1:11" ht="12">
      <c r="A36" s="32"/>
      <c r="B36" s="48" t="s">
        <v>33</v>
      </c>
      <c r="C36" s="48"/>
      <c r="D36" s="48"/>
      <c r="E36" s="48"/>
      <c r="F36" s="48"/>
      <c r="G36" s="48"/>
      <c r="H36" s="48"/>
      <c r="I36" s="48"/>
      <c r="J36" s="48"/>
      <c r="K36" s="48"/>
    </row>
    <row r="37" spans="2:11" ht="12">
      <c r="B37" s="46" t="s">
        <v>32</v>
      </c>
      <c r="C37" s="46"/>
      <c r="D37" s="46"/>
      <c r="E37" s="46"/>
      <c r="F37" s="46"/>
      <c r="G37" s="46"/>
      <c r="H37" s="46"/>
      <c r="I37" s="46"/>
      <c r="J37" s="46"/>
      <c r="K37" s="46"/>
    </row>
    <row r="38" spans="2:11" ht="12">
      <c r="B38" s="37"/>
      <c r="C38" s="37"/>
      <c r="D38" s="37"/>
      <c r="E38" s="37"/>
      <c r="F38" s="37"/>
      <c r="G38" s="37"/>
      <c r="H38" s="37"/>
      <c r="I38" s="37"/>
      <c r="J38" s="37"/>
      <c r="K38" s="37"/>
    </row>
    <row r="39" spans="2:11" ht="12">
      <c r="B39" s="37"/>
      <c r="C39" s="37"/>
      <c r="D39" s="37"/>
      <c r="E39" s="37"/>
      <c r="F39" s="37"/>
      <c r="G39" s="37"/>
      <c r="H39" s="37"/>
      <c r="I39" s="37"/>
      <c r="J39" s="37"/>
      <c r="K39" s="37"/>
    </row>
  </sheetData>
  <mergeCells count="5">
    <mergeCell ref="B35:K35"/>
    <mergeCell ref="B36:K36"/>
    <mergeCell ref="B37:K37"/>
    <mergeCell ref="A33:A34"/>
    <mergeCell ref="B33:K34"/>
  </mergeCells>
  <printOptions/>
  <pageMargins left="0.75" right="0.75" top="0.5" bottom="0.5"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K38"/>
  <sheetViews>
    <sheetView workbookViewId="0" topLeftCell="A1">
      <selection activeCell="A1" sqref="A1"/>
    </sheetView>
  </sheetViews>
  <sheetFormatPr defaultColWidth="11.421875" defaultRowHeight="12.75"/>
  <cols>
    <col min="1" max="1" width="6.28125" style="31" customWidth="1"/>
    <col min="2" max="16384" width="8.8515625" style="0" customWidth="1"/>
  </cols>
  <sheetData>
    <row r="1" spans="1:5" ht="12">
      <c r="A1" s="31" t="s">
        <v>5</v>
      </c>
      <c r="B1" s="35">
        <v>82.27504123154922</v>
      </c>
      <c r="C1" s="33"/>
      <c r="D1" s="33"/>
      <c r="E1" s="33"/>
    </row>
    <row r="2" spans="1:5" ht="12">
      <c r="A2" s="31" t="s">
        <v>4</v>
      </c>
      <c r="B2" s="35">
        <v>82.37041928029053</v>
      </c>
      <c r="C2" s="33"/>
      <c r="D2" s="33"/>
      <c r="E2" s="33"/>
    </row>
    <row r="3" spans="1:5" ht="12">
      <c r="A3" s="31" t="s">
        <v>2</v>
      </c>
      <c r="B3" s="35">
        <v>84.25216842090153</v>
      </c>
      <c r="C3" s="33"/>
      <c r="D3" s="33"/>
      <c r="E3" s="33"/>
    </row>
    <row r="4" spans="1:2" ht="12">
      <c r="A4" s="31" t="s">
        <v>1</v>
      </c>
      <c r="B4" s="35">
        <v>82.89186662511685</v>
      </c>
    </row>
    <row r="5" spans="1:2" ht="12">
      <c r="A5" s="31" t="s">
        <v>43</v>
      </c>
      <c r="B5" s="35">
        <v>75.4970445996776</v>
      </c>
    </row>
    <row r="6" spans="1:2" ht="12">
      <c r="A6" s="31" t="s">
        <v>28</v>
      </c>
      <c r="B6" s="36">
        <v>91.3</v>
      </c>
    </row>
    <row r="7" spans="1:2" ht="12">
      <c r="A7" s="31" t="s">
        <v>34</v>
      </c>
      <c r="B7" s="35">
        <v>106.5</v>
      </c>
    </row>
    <row r="8" spans="1:2" ht="12">
      <c r="A8" s="31" t="s">
        <v>37</v>
      </c>
      <c r="B8" s="35">
        <v>101.8</v>
      </c>
    </row>
    <row r="33" ht="12">
      <c r="B33" s="34" t="s">
        <v>31</v>
      </c>
    </row>
    <row r="34" spans="1:11" ht="12">
      <c r="A34" s="47"/>
      <c r="B34" s="48" t="s">
        <v>30</v>
      </c>
      <c r="C34" s="48"/>
      <c r="D34" s="48"/>
      <c r="E34" s="48"/>
      <c r="F34" s="48"/>
      <c r="G34" s="48"/>
      <c r="H34" s="48"/>
      <c r="I34" s="48"/>
      <c r="J34" s="48"/>
      <c r="K34" s="48"/>
    </row>
    <row r="35" spans="1:11" ht="21.75" customHeight="1">
      <c r="A35" s="47"/>
      <c r="B35" s="48"/>
      <c r="C35" s="48"/>
      <c r="D35" s="48"/>
      <c r="E35" s="48"/>
      <c r="F35" s="48"/>
      <c r="G35" s="48"/>
      <c r="H35" s="48"/>
      <c r="I35" s="48"/>
      <c r="J35" s="48"/>
      <c r="K35" s="48"/>
    </row>
    <row r="36" spans="1:11" ht="12.75" customHeight="1">
      <c r="A36" s="32"/>
      <c r="B36" s="48" t="s">
        <v>35</v>
      </c>
      <c r="C36" s="48"/>
      <c r="D36" s="48"/>
      <c r="E36" s="48"/>
      <c r="F36" s="48"/>
      <c r="G36" s="48"/>
      <c r="H36" s="48"/>
      <c r="I36" s="48"/>
      <c r="J36" s="48"/>
      <c r="K36" s="48"/>
    </row>
    <row r="37" spans="1:11" ht="12">
      <c r="A37" s="32"/>
      <c r="B37" s="48" t="s">
        <v>33</v>
      </c>
      <c r="C37" s="48"/>
      <c r="D37" s="48"/>
      <c r="E37" s="48"/>
      <c r="F37" s="48"/>
      <c r="G37" s="48"/>
      <c r="H37" s="48"/>
      <c r="I37" s="48"/>
      <c r="J37" s="48"/>
      <c r="K37" s="48"/>
    </row>
    <row r="38" spans="2:11" ht="12">
      <c r="B38" s="46" t="s">
        <v>32</v>
      </c>
      <c r="C38" s="46"/>
      <c r="D38" s="46"/>
      <c r="E38" s="46"/>
      <c r="F38" s="46"/>
      <c r="G38" s="46"/>
      <c r="H38" s="46"/>
      <c r="I38" s="46"/>
      <c r="J38" s="46"/>
      <c r="K38" s="46"/>
    </row>
  </sheetData>
  <mergeCells count="5">
    <mergeCell ref="B36:K36"/>
    <mergeCell ref="B37:K37"/>
    <mergeCell ref="B38:K38"/>
    <mergeCell ref="A34:A35"/>
    <mergeCell ref="B34:K35"/>
  </mergeCells>
  <printOptions/>
  <pageMargins left="0.75" right="0.75" top="0.5" bottom="0.5"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sheetPr>
    <pageSetUpPr fitToPage="1"/>
  </sheetPr>
  <dimension ref="A1:S35"/>
  <sheetViews>
    <sheetView zoomScale="150" zoomScaleNormal="150" workbookViewId="0" topLeftCell="A1">
      <selection activeCell="C15" sqref="C15"/>
    </sheetView>
  </sheetViews>
  <sheetFormatPr defaultColWidth="9.14062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28</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125.6</v>
      </c>
      <c r="D5" s="10">
        <v>83.7</v>
      </c>
      <c r="E5" s="10">
        <v>72.8</v>
      </c>
      <c r="F5" s="10">
        <v>61</v>
      </c>
      <c r="G5" s="11">
        <f>(C5*35+D5*30+E5*30)/95</f>
        <v>95.69473684210526</v>
      </c>
      <c r="H5" s="10">
        <f>(C5*35+D5*30+E5*30+F5*5)/100</f>
        <v>93.96</v>
      </c>
      <c r="I5" s="1"/>
      <c r="J5" s="11">
        <v>152.3</v>
      </c>
      <c r="K5" s="11">
        <v>105.3</v>
      </c>
      <c r="L5" s="11">
        <v>92.5</v>
      </c>
      <c r="M5" s="11">
        <v>78.7</v>
      </c>
      <c r="N5" s="11">
        <f aca="true" t="shared" si="0" ref="N5:N12">(J5*35+K5*30+L5*30)/95</f>
        <v>118.57368421052631</v>
      </c>
      <c r="O5" s="10">
        <f>(J5*35+K5*30+L5*30+M5*5)/100</f>
        <v>116.58</v>
      </c>
    </row>
    <row r="6" spans="1:15" ht="12">
      <c r="A6" s="5"/>
      <c r="B6" s="5" t="s">
        <v>51</v>
      </c>
      <c r="C6" s="10">
        <v>115.1</v>
      </c>
      <c r="D6" s="10">
        <v>70.9</v>
      </c>
      <c r="E6" s="10">
        <v>63.9</v>
      </c>
      <c r="F6" s="10" t="s">
        <v>52</v>
      </c>
      <c r="G6" s="11">
        <f aca="true" t="shared" si="1" ref="G6:G12">(C6*35+D6*30+E6*30)/95</f>
        <v>84.97368421052632</v>
      </c>
      <c r="H6" s="10" t="s">
        <v>52</v>
      </c>
      <c r="I6" s="1"/>
      <c r="J6" s="11">
        <v>149.7</v>
      </c>
      <c r="K6" s="11">
        <v>94.7</v>
      </c>
      <c r="L6" s="11">
        <v>86</v>
      </c>
      <c r="M6" s="11" t="s">
        <v>52</v>
      </c>
      <c r="N6" s="11">
        <f t="shared" si="0"/>
        <v>112.21578947368421</v>
      </c>
      <c r="O6" s="10" t="s">
        <v>52</v>
      </c>
    </row>
    <row r="7" spans="1:15" ht="12">
      <c r="A7" s="5"/>
      <c r="B7" s="5" t="s">
        <v>53</v>
      </c>
      <c r="C7" s="10">
        <v>123.1</v>
      </c>
      <c r="D7" s="10">
        <v>82.7</v>
      </c>
      <c r="E7" s="10">
        <v>68</v>
      </c>
      <c r="F7" s="10">
        <v>50.1</v>
      </c>
      <c r="G7" s="11">
        <f t="shared" si="1"/>
        <v>92.9421052631579</v>
      </c>
      <c r="H7" s="10">
        <f>(C7*35+D7*30+E7*30+F7*5)/100</f>
        <v>90.8</v>
      </c>
      <c r="I7" s="1"/>
      <c r="J7" s="11">
        <v>152.1</v>
      </c>
      <c r="K7" s="11">
        <v>105.8</v>
      </c>
      <c r="L7" s="11">
        <v>87.5</v>
      </c>
      <c r="M7" s="11">
        <v>65</v>
      </c>
      <c r="N7" s="11">
        <f t="shared" si="0"/>
        <v>117.07894736842105</v>
      </c>
      <c r="O7" s="10">
        <f>(J7*35+K7*30+L7*30+M7*5)/100</f>
        <v>114.475</v>
      </c>
    </row>
    <row r="8" spans="1:15" ht="12">
      <c r="A8" s="5"/>
      <c r="B8" s="5" t="s">
        <v>54</v>
      </c>
      <c r="C8" s="10">
        <v>105.3</v>
      </c>
      <c r="D8" s="10">
        <v>70.9</v>
      </c>
      <c r="E8" s="10">
        <v>63.9</v>
      </c>
      <c r="F8" s="10" t="s">
        <v>52</v>
      </c>
      <c r="G8" s="11">
        <f t="shared" si="1"/>
        <v>81.36315789473684</v>
      </c>
      <c r="H8" s="10" t="s">
        <v>52</v>
      </c>
      <c r="I8" s="1"/>
      <c r="J8" s="11">
        <v>132.2</v>
      </c>
      <c r="K8" s="11">
        <v>92</v>
      </c>
      <c r="L8" s="11">
        <v>83.7</v>
      </c>
      <c r="M8" s="11" t="s">
        <v>52</v>
      </c>
      <c r="N8" s="11">
        <f t="shared" si="0"/>
        <v>104.18947368421053</v>
      </c>
      <c r="O8" s="10" t="s">
        <v>52</v>
      </c>
    </row>
    <row r="9" spans="1:15" ht="12">
      <c r="A9" s="5"/>
      <c r="B9" s="5" t="s">
        <v>55</v>
      </c>
      <c r="C9" s="10">
        <v>115.3</v>
      </c>
      <c r="D9" s="10">
        <v>77.9</v>
      </c>
      <c r="E9" s="10">
        <v>65.2</v>
      </c>
      <c r="F9" s="10">
        <v>63.1</v>
      </c>
      <c r="G9" s="11">
        <f t="shared" si="1"/>
        <v>87.66842105263157</v>
      </c>
      <c r="H9" s="10">
        <f>(C9*35+D9*30+E9*30+F9*5)/100</f>
        <v>86.44</v>
      </c>
      <c r="I9" s="1"/>
      <c r="J9" s="11">
        <v>138.3</v>
      </c>
      <c r="K9" s="11">
        <v>95.7</v>
      </c>
      <c r="L9" s="11">
        <v>81.1</v>
      </c>
      <c r="M9" s="11">
        <v>78.2</v>
      </c>
      <c r="N9" s="11">
        <f t="shared" si="0"/>
        <v>106.78421052631579</v>
      </c>
      <c r="O9" s="10">
        <f>(J9*35+K9*30+L9*30+M9*5)/100</f>
        <v>105.355</v>
      </c>
    </row>
    <row r="10" spans="1:15" ht="12">
      <c r="A10" s="5"/>
      <c r="B10" s="5" t="s">
        <v>56</v>
      </c>
      <c r="C10" s="10">
        <v>104.9</v>
      </c>
      <c r="D10" s="10">
        <v>72.8</v>
      </c>
      <c r="E10" s="10">
        <v>62.6</v>
      </c>
      <c r="F10" s="10" t="s">
        <v>52</v>
      </c>
      <c r="G10" s="11">
        <f t="shared" si="1"/>
        <v>81.40526315789474</v>
      </c>
      <c r="H10" s="10" t="s">
        <v>52</v>
      </c>
      <c r="I10" s="1"/>
      <c r="J10" s="11">
        <v>133.8</v>
      </c>
      <c r="K10" s="11">
        <v>94.4</v>
      </c>
      <c r="L10" s="11">
        <v>80.2</v>
      </c>
      <c r="M10" s="11" t="s">
        <v>52</v>
      </c>
      <c r="N10" s="11">
        <f t="shared" si="0"/>
        <v>104.43157894736842</v>
      </c>
      <c r="O10" s="10" t="s">
        <v>52</v>
      </c>
    </row>
    <row r="11" spans="1:15" ht="12">
      <c r="A11" s="5"/>
      <c r="B11" s="5" t="s">
        <v>57</v>
      </c>
      <c r="C11" s="10">
        <v>102.8</v>
      </c>
      <c r="D11" s="10">
        <v>74.5</v>
      </c>
      <c r="E11" s="10">
        <v>65.2</v>
      </c>
      <c r="F11" s="10">
        <v>44.6</v>
      </c>
      <c r="G11" s="11">
        <f t="shared" si="1"/>
        <v>81.98947368421052</v>
      </c>
      <c r="H11" s="10">
        <f>(C11*35+D11*30+E11*30+F11*5)/100</f>
        <v>80.12</v>
      </c>
      <c r="I11" s="1"/>
      <c r="J11" s="11">
        <v>124.3</v>
      </c>
      <c r="K11" s="11">
        <v>91.7</v>
      </c>
      <c r="L11" s="11">
        <v>80.7</v>
      </c>
      <c r="M11" s="11">
        <v>56.4</v>
      </c>
      <c r="N11" s="11">
        <f t="shared" si="0"/>
        <v>100.23684210526316</v>
      </c>
      <c r="O11" s="10">
        <f>(J11*35+K11*30+L11*30+M11*5)/100</f>
        <v>98.045</v>
      </c>
    </row>
    <row r="12" spans="1:15" ht="12">
      <c r="A12" s="5"/>
      <c r="B12" s="5" t="s">
        <v>58</v>
      </c>
      <c r="C12" s="10">
        <v>102.1</v>
      </c>
      <c r="D12" s="10">
        <v>72.9</v>
      </c>
      <c r="E12" s="10">
        <v>67.2</v>
      </c>
      <c r="F12" s="10">
        <v>42.3</v>
      </c>
      <c r="G12" s="11">
        <f t="shared" si="1"/>
        <v>81.8578947368421</v>
      </c>
      <c r="H12" s="10">
        <f>(C12*35+D12*30+E12*30+F12*5)/100</f>
        <v>79.88</v>
      </c>
      <c r="I12" s="1"/>
      <c r="J12" s="11">
        <v>125.7</v>
      </c>
      <c r="K12" s="11">
        <v>91</v>
      </c>
      <c r="L12" s="11">
        <v>82.5</v>
      </c>
      <c r="M12" s="11">
        <v>54.2</v>
      </c>
      <c r="N12" s="11">
        <f t="shared" si="0"/>
        <v>101.1</v>
      </c>
      <c r="O12" s="10">
        <f>(J12*35+K12*30+L12*30+M12*5)/100</f>
        <v>98.755</v>
      </c>
    </row>
    <row r="13" spans="1:15" ht="12">
      <c r="A13" s="5"/>
      <c r="B13" s="5"/>
      <c r="C13" s="10"/>
      <c r="D13" s="10"/>
      <c r="E13" s="10"/>
      <c r="F13" s="10"/>
      <c r="G13" s="6"/>
      <c r="H13" s="10"/>
      <c r="I13" s="1"/>
      <c r="J13" s="6"/>
      <c r="K13" s="6"/>
      <c r="L13" s="6"/>
      <c r="M13" s="6"/>
      <c r="N13" s="6"/>
      <c r="O13" s="10"/>
    </row>
    <row r="14" spans="1:15" ht="12">
      <c r="A14" s="5"/>
      <c r="B14" s="5" t="s">
        <v>59</v>
      </c>
      <c r="C14" s="10">
        <f>AVERAGE(C5:C12)</f>
        <v>111.77499999999999</v>
      </c>
      <c r="D14" s="10">
        <f>AVERAGE(D5:D12)</f>
        <v>75.78750000000001</v>
      </c>
      <c r="E14" s="10">
        <f>AVERAGE(E5:E12)</f>
        <v>66.1</v>
      </c>
      <c r="F14" s="10">
        <f>AVERAGE(F5:F12)</f>
        <v>52.21999999999999</v>
      </c>
      <c r="G14" s="11">
        <f>(C14*35+D14*30+E14*30)/95</f>
        <v>85.98684210526316</v>
      </c>
      <c r="H14" s="10">
        <f>(C14*35+D14*30+E14*30+F14*5)/100</f>
        <v>84.2985</v>
      </c>
      <c r="I14" s="1"/>
      <c r="J14" s="10">
        <f>AVERAGE(J5:J12)</f>
        <v>138.54999999999998</v>
      </c>
      <c r="K14" s="10">
        <f>AVERAGE(K5:K12)</f>
        <v>96.325</v>
      </c>
      <c r="L14" s="10">
        <f>AVERAGE(L5:L12)</f>
        <v>84.27499999999999</v>
      </c>
      <c r="M14" s="10">
        <f>AVERAGE(M5:M12)</f>
        <v>66.49999999999999</v>
      </c>
      <c r="N14" s="11">
        <f>(J14*35+K14*30+L14*30)/95</f>
        <v>108.07631578947367</v>
      </c>
      <c r="O14" s="10">
        <f>(J14*35+K14*30+L14*30+M14*5)/100</f>
        <v>105.99749999999999</v>
      </c>
    </row>
    <row r="15" spans="1:15" ht="12">
      <c r="A15" s="5"/>
      <c r="B15" s="5" t="s">
        <v>60</v>
      </c>
      <c r="C15" s="10">
        <f>Ratios!N48/Ratios!I46</f>
        <v>112.2084026791151</v>
      </c>
      <c r="D15" s="10">
        <f>Ratios!O48/Ratios!J46</f>
        <v>76.16507821025829</v>
      </c>
      <c r="E15" s="10">
        <f>Ratios!P48/Ratios!K46</f>
        <v>66.86039563988696</v>
      </c>
      <c r="F15" s="10">
        <f>Ratios!Q48/Ratios!L46</f>
        <v>46.01386554621849</v>
      </c>
      <c r="G15" s="11">
        <f>(C15*35+D15*30+E15*30)/95</f>
        <v>86.50587693971984</v>
      </c>
      <c r="H15" s="10">
        <f>(C15*35+D15*30+E15*30+F15*5)/100</f>
        <v>84.48127637004478</v>
      </c>
      <c r="I15" s="9"/>
      <c r="J15" s="11">
        <f>Ratios!S48/Ratios!I46</f>
        <v>138.81832758270752</v>
      </c>
      <c r="K15" s="11">
        <f>Ratios!T48/Ratios!J46</f>
        <v>96.55762095307385</v>
      </c>
      <c r="L15" s="11">
        <f>Ratios!U48/Ratios!K46</f>
        <v>84.838473960436</v>
      </c>
      <c r="M15" s="11">
        <f>Ratios!V48/Ratios!L46</f>
        <v>58.32184873949579</v>
      </c>
      <c r="N15" s="11">
        <f>(J15*35+K15*30+L15*30)/95</f>
        <v>108.42657171368482</v>
      </c>
      <c r="O15" s="10">
        <f>(J15*35+K15*30+L15*30+M15*5)/100</f>
        <v>105.92133556497538</v>
      </c>
    </row>
    <row r="16" spans="1:15" ht="12">
      <c r="A16" s="5"/>
      <c r="B16" s="5"/>
      <c r="C16" s="10"/>
      <c r="D16" s="10"/>
      <c r="E16" s="10"/>
      <c r="F16" s="10"/>
      <c r="G16" s="11"/>
      <c r="H16" s="10"/>
      <c r="I16" s="9"/>
      <c r="J16" s="6"/>
      <c r="K16" s="6"/>
      <c r="L16" s="6"/>
      <c r="M16" s="6"/>
      <c r="N16" s="11"/>
      <c r="O16" s="10"/>
    </row>
    <row r="17" spans="1:19" ht="12">
      <c r="A17" s="5"/>
      <c r="B17" s="5" t="s">
        <v>61</v>
      </c>
      <c r="C17" s="10">
        <v>88</v>
      </c>
      <c r="D17" s="10">
        <v>63.1</v>
      </c>
      <c r="E17" s="10">
        <v>57.1</v>
      </c>
      <c r="F17" s="10">
        <v>40.1</v>
      </c>
      <c r="G17" s="11">
        <f>(C17*35+D17*30+E17*30)/95</f>
        <v>70.37894736842105</v>
      </c>
      <c r="H17" s="10">
        <f>(C17*35+D17*30+E17*30+F17*5)/100</f>
        <v>68.865</v>
      </c>
      <c r="I17" s="9"/>
      <c r="J17" s="6">
        <v>121.2</v>
      </c>
      <c r="K17" s="6">
        <v>90.2</v>
      </c>
      <c r="L17" s="11">
        <v>80.6</v>
      </c>
      <c r="M17" s="6">
        <v>60.7</v>
      </c>
      <c r="N17" s="11">
        <f>(J17*35+K17*30+L17*30)/95</f>
        <v>98.58947368421053</v>
      </c>
      <c r="O17" s="10">
        <f>(J17*35+K17*30+L17*30+M17*5)/100</f>
        <v>96.695</v>
      </c>
      <c r="P17" s="39"/>
      <c r="Q17" s="39"/>
      <c r="R17" s="39"/>
      <c r="S17" s="39"/>
    </row>
    <row r="18" spans="1:19" ht="12">
      <c r="A18" s="5"/>
      <c r="B18" s="5"/>
      <c r="C18" s="10"/>
      <c r="D18" s="10"/>
      <c r="E18" s="10"/>
      <c r="F18" s="10"/>
      <c r="G18" s="6"/>
      <c r="H18" s="10"/>
      <c r="I18" s="9"/>
      <c r="J18" s="6"/>
      <c r="K18" s="6"/>
      <c r="L18" s="6"/>
      <c r="M18" s="6"/>
      <c r="N18" s="6"/>
      <c r="O18" s="6"/>
      <c r="P18" s="39"/>
      <c r="Q18" s="39"/>
      <c r="R18" s="39"/>
      <c r="S18" s="39"/>
    </row>
    <row r="19" spans="1:15" ht="12">
      <c r="A19" s="5"/>
      <c r="B19" s="12" t="s">
        <v>62</v>
      </c>
      <c r="C19" s="2">
        <f aca="true" t="shared" si="2" ref="C19:H19">C17/C14</f>
        <v>0.7872959069559383</v>
      </c>
      <c r="D19" s="2">
        <f t="shared" si="2"/>
        <v>0.8325911265050304</v>
      </c>
      <c r="E19" s="2">
        <f t="shared" si="2"/>
        <v>0.8638426626323753</v>
      </c>
      <c r="F19" s="2">
        <f t="shared" si="2"/>
        <v>0.7679050172347761</v>
      </c>
      <c r="G19" s="2">
        <f t="shared" si="2"/>
        <v>0.8184850803366488</v>
      </c>
      <c r="H19" s="2">
        <f t="shared" si="2"/>
        <v>0.8169184505062367</v>
      </c>
      <c r="I19" s="13"/>
      <c r="J19" s="2">
        <f aca="true" t="shared" si="3" ref="J19:O19">J17/J14</f>
        <v>0.8747744496571636</v>
      </c>
      <c r="K19" s="2">
        <f t="shared" si="3"/>
        <v>0.9364131845315339</v>
      </c>
      <c r="L19" s="2">
        <f t="shared" si="3"/>
        <v>0.9563927617917533</v>
      </c>
      <c r="M19" s="2">
        <f t="shared" si="3"/>
        <v>0.9127819548872182</v>
      </c>
      <c r="N19" s="2">
        <f t="shared" si="3"/>
        <v>0.9122208965399695</v>
      </c>
      <c r="O19" s="2">
        <f t="shared" si="3"/>
        <v>0.912238496190948</v>
      </c>
    </row>
    <row r="20" spans="1:15" ht="12">
      <c r="A20" s="5"/>
      <c r="B20" s="5"/>
      <c r="C20" s="10"/>
      <c r="D20" s="10"/>
      <c r="E20" s="10"/>
      <c r="F20" s="10"/>
      <c r="G20" s="6"/>
      <c r="H20" s="6"/>
      <c r="I20" s="9"/>
      <c r="J20" s="6"/>
      <c r="K20" s="6"/>
      <c r="L20" s="6"/>
      <c r="M20" s="6"/>
      <c r="N20" s="6"/>
      <c r="O20" s="14"/>
    </row>
    <row r="21" spans="1:15" ht="12">
      <c r="A21" s="5"/>
      <c r="B21" s="5" t="s">
        <v>63</v>
      </c>
      <c r="C21" s="3">
        <f>'2004-05'!C19</f>
        <v>0.7732685859636952</v>
      </c>
      <c r="D21" s="3">
        <f>'2004-05'!D19</f>
        <v>0.8027210884353742</v>
      </c>
      <c r="E21" s="3">
        <f>'2004-05'!E19</f>
        <v>0.8555140554354236</v>
      </c>
      <c r="F21" s="3">
        <f>'2004-05'!F19</f>
        <v>0.64321608040201</v>
      </c>
      <c r="G21" s="3">
        <f>'2004-05'!G19</f>
        <v>0.8013613518540503</v>
      </c>
      <c r="H21" s="3">
        <f>'2004-05'!H19</f>
        <v>0.795601009754349</v>
      </c>
      <c r="I21" s="4"/>
      <c r="J21" s="3">
        <f>'2004-05'!J19</f>
        <v>0.8248270704804634</v>
      </c>
      <c r="K21" s="3">
        <f>'2004-05'!K19</f>
        <v>0.8730991791145202</v>
      </c>
      <c r="L21" s="3">
        <f>'2004-05'!L19</f>
        <v>0.9204968944099379</v>
      </c>
      <c r="M21" s="3">
        <f>'2004-05'!M19</f>
        <v>0.754970445996776</v>
      </c>
      <c r="N21" s="3">
        <f>'2004-05'!N19</f>
        <v>0.861819469742967</v>
      </c>
      <c r="O21" s="3">
        <f>'2004-05'!O19</f>
        <v>0.8579411363148758</v>
      </c>
    </row>
    <row r="22" spans="1:15" ht="12">
      <c r="A22" s="5"/>
      <c r="B22" s="5"/>
      <c r="C22" s="10"/>
      <c r="D22" s="10"/>
      <c r="E22" s="10"/>
      <c r="F22" s="6"/>
      <c r="G22" s="6"/>
      <c r="H22" s="6"/>
      <c r="I22" s="9"/>
      <c r="J22" s="6"/>
      <c r="K22" s="6"/>
      <c r="L22" s="6"/>
      <c r="M22" s="6"/>
      <c r="N22" s="6"/>
      <c r="O22" s="14"/>
    </row>
    <row r="23" spans="1:15" ht="12">
      <c r="A23" s="5"/>
      <c r="B23" s="5" t="s">
        <v>64</v>
      </c>
      <c r="C23" s="14">
        <f aca="true" t="shared" si="4" ref="C23:H23">C19-C21</f>
        <v>0.01402732099224313</v>
      </c>
      <c r="D23" s="14">
        <f t="shared" si="4"/>
        <v>0.02987003806965627</v>
      </c>
      <c r="E23" s="14">
        <f t="shared" si="4"/>
        <v>0.00832860719695172</v>
      </c>
      <c r="F23" s="14">
        <f t="shared" si="4"/>
        <v>0.12468893683276616</v>
      </c>
      <c r="G23" s="14">
        <f t="shared" si="4"/>
        <v>0.017123728482598466</v>
      </c>
      <c r="H23" s="14">
        <f t="shared" si="4"/>
        <v>0.021317440751887684</v>
      </c>
      <c r="I23" s="9"/>
      <c r="J23" s="14">
        <f aca="true" t="shared" si="5" ref="J23:O23">J19-J21</f>
        <v>0.04994737917670011</v>
      </c>
      <c r="K23" s="14">
        <f t="shared" si="5"/>
        <v>0.06331400541701371</v>
      </c>
      <c r="L23" s="14">
        <f t="shared" si="5"/>
        <v>0.03589586738181538</v>
      </c>
      <c r="M23" s="14">
        <f t="shared" si="5"/>
        <v>0.15781150889044226</v>
      </c>
      <c r="N23" s="14">
        <f t="shared" si="5"/>
        <v>0.050401426797002546</v>
      </c>
      <c r="O23" s="14">
        <f t="shared" si="5"/>
        <v>0.054297359876072204</v>
      </c>
    </row>
    <row r="24" spans="1:15" ht="12">
      <c r="A24" s="5"/>
      <c r="B24" s="5"/>
      <c r="C24" s="6"/>
      <c r="D24" s="6"/>
      <c r="E24" s="6"/>
      <c r="F24" s="6"/>
      <c r="G24" s="6"/>
      <c r="H24" s="6"/>
      <c r="I24" s="9"/>
      <c r="J24" s="6"/>
      <c r="K24" s="6"/>
      <c r="L24" s="6"/>
      <c r="M24" s="6"/>
      <c r="N24" s="6"/>
      <c r="O24" s="6"/>
    </row>
    <row r="25" spans="1:15" ht="12">
      <c r="A25" s="15"/>
      <c r="B25" s="15" t="s">
        <v>65</v>
      </c>
      <c r="C25" s="15"/>
      <c r="D25" s="15"/>
      <c r="E25" s="15"/>
      <c r="F25" s="15"/>
      <c r="G25" s="15"/>
      <c r="H25" s="15"/>
      <c r="I25" s="15"/>
      <c r="J25" s="15"/>
      <c r="K25" s="15"/>
      <c r="L25" s="15"/>
      <c r="M25" s="15"/>
      <c r="N25" s="15"/>
      <c r="O25" s="15"/>
    </row>
    <row r="26" spans="1:15" ht="12">
      <c r="A26" s="15"/>
      <c r="B26" s="15" t="s">
        <v>66</v>
      </c>
      <c r="C26" s="16"/>
      <c r="D26" s="16"/>
      <c r="E26" s="16"/>
      <c r="F26" s="16"/>
      <c r="G26" s="16"/>
      <c r="H26" s="16"/>
      <c r="I26" s="16"/>
      <c r="J26" s="16"/>
      <c r="K26" s="16"/>
      <c r="L26" s="16"/>
      <c r="M26" s="16"/>
      <c r="N26" s="16"/>
      <c r="O26" s="16"/>
    </row>
    <row r="27" spans="1:15" ht="34.5" customHeight="1">
      <c r="A27" s="15"/>
      <c r="B27" s="43" t="s">
        <v>67</v>
      </c>
      <c r="C27" s="43"/>
      <c r="D27" s="43"/>
      <c r="E27" s="43"/>
      <c r="F27" s="43"/>
      <c r="G27" s="43"/>
      <c r="H27" s="43"/>
      <c r="I27" s="43"/>
      <c r="J27" s="43"/>
      <c r="K27" s="43"/>
      <c r="L27" s="43"/>
      <c r="M27" s="43"/>
      <c r="N27" s="43"/>
      <c r="O27" s="43"/>
    </row>
    <row r="28" spans="1:15" ht="12">
      <c r="A28" s="15"/>
      <c r="B28" s="15" t="s">
        <v>0</v>
      </c>
      <c r="C28" s="16"/>
      <c r="D28" s="16"/>
      <c r="E28" s="16"/>
      <c r="F28" s="16"/>
      <c r="G28" s="16"/>
      <c r="H28" s="16"/>
      <c r="I28" s="16"/>
      <c r="J28" s="16"/>
      <c r="K28" s="16"/>
      <c r="L28" s="16"/>
      <c r="M28" s="16"/>
      <c r="N28" s="16"/>
      <c r="O28" s="16"/>
    </row>
    <row r="29" spans="1:15" ht="12">
      <c r="A29" s="15"/>
      <c r="B29" s="15" t="s">
        <v>32</v>
      </c>
      <c r="C29" s="16"/>
      <c r="D29" s="16"/>
      <c r="E29" s="16"/>
      <c r="F29" s="16"/>
      <c r="G29" s="16"/>
      <c r="H29" s="16"/>
      <c r="I29" s="16"/>
      <c r="J29" s="16"/>
      <c r="K29" s="16"/>
      <c r="L29" s="16"/>
      <c r="M29" s="16"/>
      <c r="N29" s="16"/>
      <c r="O29" s="16"/>
    </row>
    <row r="35" spans="3:6" ht="12">
      <c r="C35" s="30"/>
      <c r="D35" s="30"/>
      <c r="E35" s="30"/>
      <c r="F35" s="30"/>
    </row>
  </sheetData>
  <mergeCells count="5">
    <mergeCell ref="B27:O27"/>
    <mergeCell ref="C1:H1"/>
    <mergeCell ref="J1:O1"/>
    <mergeCell ref="C2:H2"/>
    <mergeCell ref="J2:O2"/>
  </mergeCells>
  <printOptions/>
  <pageMargins left="0.75" right="0.75" top="1" bottom="1" header="0.5" footer="0.5"/>
  <pageSetup fitToHeight="1" fitToWidth="1" horizontalDpi="600" verticalDpi="600" orientation="landscape" scale="90"/>
</worksheet>
</file>

<file path=xl/worksheets/sheet7.xml><?xml version="1.0" encoding="utf-8"?>
<worksheet xmlns="http://schemas.openxmlformats.org/spreadsheetml/2006/main" xmlns:r="http://schemas.openxmlformats.org/officeDocument/2006/relationships">
  <sheetPr>
    <pageSetUpPr fitToPage="1"/>
  </sheetPr>
  <dimension ref="A1:S35"/>
  <sheetViews>
    <sheetView zoomScale="150" zoomScaleNormal="150" workbookViewId="0" topLeftCell="A1">
      <selection activeCell="Q27" sqref="Q27"/>
    </sheetView>
  </sheetViews>
  <sheetFormatPr defaultColWidth="9.14062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43</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120.2</v>
      </c>
      <c r="D5" s="10">
        <v>81.6</v>
      </c>
      <c r="E5" s="10">
        <v>67.1</v>
      </c>
      <c r="F5" s="10">
        <v>55.4</v>
      </c>
      <c r="G5" s="11">
        <f>(C5*35+D5*30+E5*30)/95</f>
        <v>91.2421052631579</v>
      </c>
      <c r="H5" s="10">
        <f>(C5*35+D5*30+E5*30+F5*5)/100</f>
        <v>89.45</v>
      </c>
      <c r="I5" s="1"/>
      <c r="J5" s="11">
        <v>145.6</v>
      </c>
      <c r="K5" s="11">
        <v>102.2</v>
      </c>
      <c r="L5" s="11">
        <v>85.3</v>
      </c>
      <c r="M5" s="11">
        <v>71.5</v>
      </c>
      <c r="N5" s="11">
        <f aca="true" t="shared" si="0" ref="N5:N12">(J5*35+K5*30+L5*30)/95</f>
        <v>112.85263157894737</v>
      </c>
      <c r="O5" s="10">
        <f>(J5*35+K5*30+L5*30+M5*5)/100</f>
        <v>110.785</v>
      </c>
    </row>
    <row r="6" spans="1:15" ht="12">
      <c r="A6" s="5"/>
      <c r="B6" s="5" t="s">
        <v>51</v>
      </c>
      <c r="C6" s="10">
        <v>110.6</v>
      </c>
      <c r="D6" s="10">
        <v>68.4</v>
      </c>
      <c r="E6" s="10">
        <v>61</v>
      </c>
      <c r="F6" s="10" t="s">
        <v>52</v>
      </c>
      <c r="G6" s="11">
        <f aca="true" t="shared" si="1" ref="G6:G12">(C6*35+D6*30+E6*30)/95</f>
        <v>81.61052631578947</v>
      </c>
      <c r="H6" s="10" t="s">
        <v>52</v>
      </c>
      <c r="I6" s="1"/>
      <c r="J6" s="11">
        <v>143.8</v>
      </c>
      <c r="K6" s="11">
        <v>89.7</v>
      </c>
      <c r="L6" s="11">
        <v>80.1</v>
      </c>
      <c r="M6" s="11" t="s">
        <v>52</v>
      </c>
      <c r="N6" s="11">
        <f t="shared" si="0"/>
        <v>106.6</v>
      </c>
      <c r="O6" s="10" t="s">
        <v>52</v>
      </c>
    </row>
    <row r="7" spans="1:15" ht="12">
      <c r="A7" s="5"/>
      <c r="B7" s="5" t="s">
        <v>53</v>
      </c>
      <c r="C7" s="10">
        <v>118.1</v>
      </c>
      <c r="D7" s="10">
        <v>78.1</v>
      </c>
      <c r="E7" s="10">
        <v>64.1</v>
      </c>
      <c r="F7" s="10">
        <v>49.9</v>
      </c>
      <c r="G7" s="11">
        <f t="shared" si="1"/>
        <v>88.41578947368421</v>
      </c>
      <c r="H7" s="10">
        <f>(C7*35+D7*30+E7*30+F7*5)/100</f>
        <v>86.49</v>
      </c>
      <c r="I7" s="1"/>
      <c r="J7" s="11">
        <v>145.3</v>
      </c>
      <c r="K7" s="11">
        <v>99.2</v>
      </c>
      <c r="L7" s="11">
        <v>81.9</v>
      </c>
      <c r="M7" s="11">
        <v>63.4</v>
      </c>
      <c r="N7" s="11">
        <f t="shared" si="0"/>
        <v>110.72105263157894</v>
      </c>
      <c r="O7" s="10">
        <f>(J7*35+K7*30+L7*30+M7*5)/100</f>
        <v>108.355</v>
      </c>
    </row>
    <row r="8" spans="1:15" ht="12">
      <c r="A8" s="5"/>
      <c r="B8" s="5" t="s">
        <v>54</v>
      </c>
      <c r="C8" s="10">
        <v>102.8</v>
      </c>
      <c r="D8" s="10">
        <v>69.1</v>
      </c>
      <c r="E8" s="10">
        <v>61.7</v>
      </c>
      <c r="F8" s="10" t="s">
        <v>52</v>
      </c>
      <c r="G8" s="11">
        <f t="shared" si="1"/>
        <v>79.17894736842105</v>
      </c>
      <c r="H8" s="10" t="s">
        <v>52</v>
      </c>
      <c r="I8" s="1"/>
      <c r="J8" s="11">
        <v>128.3</v>
      </c>
      <c r="K8" s="11">
        <v>88.6</v>
      </c>
      <c r="L8" s="11">
        <v>80.1</v>
      </c>
      <c r="M8" s="11" t="s">
        <v>52</v>
      </c>
      <c r="N8" s="11">
        <f t="shared" si="0"/>
        <v>100.5421052631579</v>
      </c>
      <c r="O8" s="10" t="s">
        <v>52</v>
      </c>
    </row>
    <row r="9" spans="1:15" ht="12">
      <c r="A9" s="5"/>
      <c r="B9" s="5" t="s">
        <v>55</v>
      </c>
      <c r="C9" s="10">
        <v>112.7</v>
      </c>
      <c r="D9" s="10">
        <v>77.2</v>
      </c>
      <c r="E9" s="10">
        <v>65.8</v>
      </c>
      <c r="F9" s="10">
        <v>106.5</v>
      </c>
      <c r="G9" s="11">
        <f t="shared" si="1"/>
        <v>86.67894736842105</v>
      </c>
      <c r="H9" s="10">
        <f>(C9*35+D9*30+E9*30+F9*5)/100</f>
        <v>87.67</v>
      </c>
      <c r="I9" s="1"/>
      <c r="J9" s="11">
        <v>134.2</v>
      </c>
      <c r="K9" s="11">
        <v>94.2</v>
      </c>
      <c r="L9" s="11">
        <v>80.8</v>
      </c>
      <c r="M9" s="11">
        <v>127</v>
      </c>
      <c r="N9" s="11">
        <f t="shared" si="0"/>
        <v>104.70526315789473</v>
      </c>
      <c r="O9" s="10">
        <f>(J9*35+K9*30+L9*30+M9*5)/100</f>
        <v>105.82</v>
      </c>
    </row>
    <row r="10" spans="1:15" ht="12">
      <c r="A10" s="5"/>
      <c r="B10" s="5" t="s">
        <v>56</v>
      </c>
      <c r="C10" s="10">
        <v>101.8</v>
      </c>
      <c r="D10" s="10">
        <v>70.7</v>
      </c>
      <c r="E10" s="10">
        <v>61.3</v>
      </c>
      <c r="F10" s="10" t="s">
        <v>52</v>
      </c>
      <c r="G10" s="11">
        <f t="shared" si="1"/>
        <v>79.18947368421053</v>
      </c>
      <c r="H10" s="10" t="s">
        <v>52</v>
      </c>
      <c r="I10" s="1"/>
      <c r="J10" s="11">
        <v>129.7</v>
      </c>
      <c r="K10" s="11">
        <v>91.7</v>
      </c>
      <c r="L10" s="11">
        <v>78.3</v>
      </c>
      <c r="M10" s="11" t="s">
        <v>52</v>
      </c>
      <c r="N10" s="11">
        <f t="shared" si="0"/>
        <v>101.46842105263158</v>
      </c>
      <c r="O10" s="10" t="s">
        <v>52</v>
      </c>
    </row>
    <row r="11" spans="1:15" ht="12">
      <c r="A11" s="5"/>
      <c r="B11" s="5" t="s">
        <v>57</v>
      </c>
      <c r="C11" s="10">
        <v>100.6</v>
      </c>
      <c r="D11" s="10">
        <v>72.7</v>
      </c>
      <c r="E11" s="10">
        <v>63</v>
      </c>
      <c r="F11" s="10">
        <v>44.3</v>
      </c>
      <c r="G11" s="11">
        <f t="shared" si="1"/>
        <v>79.91578947368421</v>
      </c>
      <c r="H11" s="10">
        <f>(C11*35+D11*30+E11*30+F11*5)/100</f>
        <v>78.135</v>
      </c>
      <c r="I11" s="1"/>
      <c r="J11" s="11">
        <v>122.4</v>
      </c>
      <c r="K11" s="11">
        <v>90.1</v>
      </c>
      <c r="L11" s="11">
        <v>78.6</v>
      </c>
      <c r="M11" s="11">
        <v>56.5</v>
      </c>
      <c r="N11" s="11">
        <f t="shared" si="0"/>
        <v>98.36842105263158</v>
      </c>
      <c r="O11" s="10">
        <f>(J11*35+K11*30+L11*30+M11*5)/100</f>
        <v>96.275</v>
      </c>
    </row>
    <row r="12" spans="1:15" ht="12">
      <c r="A12" s="5"/>
      <c r="B12" s="5" t="s">
        <v>58</v>
      </c>
      <c r="C12" s="10">
        <v>98.1</v>
      </c>
      <c r="D12" s="10">
        <v>70.2</v>
      </c>
      <c r="E12" s="10">
        <v>64.7</v>
      </c>
      <c r="F12" s="10">
        <v>42.4</v>
      </c>
      <c r="G12" s="11">
        <f t="shared" si="1"/>
        <v>78.7421052631579</v>
      </c>
      <c r="H12" s="10">
        <f>(C12*35+D12*30+E12*30+F12*5)/100</f>
        <v>76.925</v>
      </c>
      <c r="I12" s="1"/>
      <c r="J12" s="11">
        <v>120.5</v>
      </c>
      <c r="K12" s="11">
        <v>87.4</v>
      </c>
      <c r="L12" s="11">
        <v>78.9</v>
      </c>
      <c r="M12" s="11">
        <v>53.8</v>
      </c>
      <c r="N12" s="11">
        <f t="shared" si="0"/>
        <v>96.91052631578947</v>
      </c>
      <c r="O12" s="10">
        <f>(J12*35+K12*30+L12*30+M12*5)/100</f>
        <v>94.755</v>
      </c>
    </row>
    <row r="13" spans="1:15" ht="12">
      <c r="A13" s="5"/>
      <c r="B13" s="5"/>
      <c r="C13" s="10"/>
      <c r="D13" s="10"/>
      <c r="E13" s="10"/>
      <c r="F13" s="10"/>
      <c r="G13" s="6"/>
      <c r="H13" s="10"/>
      <c r="I13" s="1"/>
      <c r="J13" s="6"/>
      <c r="K13" s="6"/>
      <c r="L13" s="6"/>
      <c r="M13" s="6"/>
      <c r="N13" s="6"/>
      <c r="O13" s="10"/>
    </row>
    <row r="14" spans="1:15" ht="12">
      <c r="A14" s="5"/>
      <c r="B14" s="5" t="s">
        <v>59</v>
      </c>
      <c r="C14" s="10">
        <f>AVERAGE(C5:C12)</f>
        <v>108.1125</v>
      </c>
      <c r="D14" s="10">
        <f>AVERAGE(D5:D12)</f>
        <v>73.5</v>
      </c>
      <c r="E14" s="10">
        <f>AVERAGE(E5:E12)</f>
        <v>63.5875</v>
      </c>
      <c r="F14" s="10">
        <f>AVERAGE(F5:F12)</f>
        <v>59.7</v>
      </c>
      <c r="G14" s="11">
        <f>(C14*35+D14*30+E14*30)/95</f>
        <v>83.1217105263158</v>
      </c>
      <c r="H14" s="10">
        <f>(C14*35+D14*30+E14*30+F14*5)/100</f>
        <v>81.950625</v>
      </c>
      <c r="I14" s="1"/>
      <c r="J14" s="10">
        <f>AVERAGE(J5:J12)</f>
        <v>133.72500000000002</v>
      </c>
      <c r="K14" s="10">
        <f>AVERAGE(K5:K12)</f>
        <v>92.8875</v>
      </c>
      <c r="L14" s="10">
        <f>AVERAGE(L5:L12)</f>
        <v>80.5</v>
      </c>
      <c r="M14" s="10">
        <f>AVERAGE(M5:M12)</f>
        <v>74.44</v>
      </c>
      <c r="N14" s="11">
        <f>(J14*35+K14*30+L14*30)/95</f>
        <v>104.02105263157895</v>
      </c>
      <c r="O14" s="10">
        <f>(J14*35+K14*30+L14*30+M14*5)/100</f>
        <v>102.542</v>
      </c>
    </row>
    <row r="15" spans="1:15" ht="12">
      <c r="A15" s="5"/>
      <c r="B15" s="5" t="s">
        <v>60</v>
      </c>
      <c r="C15" s="10">
        <f>Ratios!N64/Ratios!I62</f>
        <v>108.32676798378925</v>
      </c>
      <c r="D15" s="10">
        <f>Ratios!O64/Ratios!J62</f>
        <v>73.9447990987608</v>
      </c>
      <c r="E15" s="10">
        <f>Ratios!P64/Ratios!K62</f>
        <v>64.1276482617587</v>
      </c>
      <c r="F15" s="10">
        <f>Ratios!Q64/Ratios!L62</f>
        <v>45.69429824561403</v>
      </c>
      <c r="G15" s="11">
        <f>(C15*35+D15*30+E15*30)/95</f>
        <v>83.51168737103377</v>
      </c>
      <c r="H15" s="10">
        <f>(C15*35+D15*30+E15*30+F15*5)/100</f>
        <v>81.6208179147628</v>
      </c>
      <c r="I15" s="9"/>
      <c r="J15" s="11">
        <f>Ratios!S64/Ratios!I62</f>
        <v>133.75525835866262</v>
      </c>
      <c r="K15" s="11">
        <f>Ratios!T64/Ratios!J62</f>
        <v>93.31851295531357</v>
      </c>
      <c r="L15" s="11">
        <f>Ratios!U64/Ratios!K62</f>
        <v>81.00204498977504</v>
      </c>
      <c r="M15" s="11">
        <f>Ratios!V64/Ratios!L62</f>
        <v>58.086842105263166</v>
      </c>
      <c r="N15" s="11">
        <f>(J15*35+K15*30+L15*30)/95</f>
        <v>104.32685032532474</v>
      </c>
      <c r="O15" s="10">
        <f>(J15*35+K15*30+L15*30+M15*5)/100</f>
        <v>102.01484991432167</v>
      </c>
    </row>
    <row r="16" spans="1:15" ht="12">
      <c r="A16" s="5"/>
      <c r="B16" s="5"/>
      <c r="C16" s="10"/>
      <c r="D16" s="10"/>
      <c r="E16" s="10"/>
      <c r="F16" s="10"/>
      <c r="G16" s="11"/>
      <c r="H16" s="10"/>
      <c r="I16" s="9"/>
      <c r="J16" s="6"/>
      <c r="K16" s="6"/>
      <c r="L16" s="6"/>
      <c r="M16" s="6"/>
      <c r="N16" s="11"/>
      <c r="O16" s="10"/>
    </row>
    <row r="17" spans="1:19" ht="12">
      <c r="A17" s="5"/>
      <c r="B17" s="5" t="s">
        <v>61</v>
      </c>
      <c r="C17" s="10">
        <v>83.6</v>
      </c>
      <c r="D17" s="10">
        <v>59</v>
      </c>
      <c r="E17" s="10">
        <v>54.4</v>
      </c>
      <c r="F17" s="10">
        <v>38.4</v>
      </c>
      <c r="G17" s="11">
        <f>(C17*35+D17*30+E17*30)/95</f>
        <v>66.61052631578947</v>
      </c>
      <c r="H17" s="10">
        <f>(C17*35+D17*30+E17*30+F17*5)/100</f>
        <v>65.2</v>
      </c>
      <c r="I17" s="9"/>
      <c r="J17" s="6">
        <v>110.3</v>
      </c>
      <c r="K17" s="6">
        <v>81.1</v>
      </c>
      <c r="L17" s="11">
        <v>74.1</v>
      </c>
      <c r="M17" s="6">
        <v>56.2</v>
      </c>
      <c r="N17" s="11">
        <f>(J17*35+K17*30+L17*30)/95</f>
        <v>89.64736842105263</v>
      </c>
      <c r="O17" s="10">
        <f>(J17*35+K17*30+L17*30+M17*5)/100</f>
        <v>87.975</v>
      </c>
      <c r="P17" s="39"/>
      <c r="Q17" s="39"/>
      <c r="R17" s="39"/>
      <c r="S17" s="39"/>
    </row>
    <row r="18" spans="1:15" ht="12">
      <c r="A18" s="5"/>
      <c r="B18" s="5"/>
      <c r="C18" s="10"/>
      <c r="D18" s="10"/>
      <c r="E18" s="10"/>
      <c r="F18" s="10"/>
      <c r="G18" s="6"/>
      <c r="H18" s="10"/>
      <c r="I18" s="9"/>
      <c r="J18" s="6"/>
      <c r="K18" s="6"/>
      <c r="L18" s="6"/>
      <c r="M18" s="6"/>
      <c r="N18" s="6"/>
      <c r="O18" s="6"/>
    </row>
    <row r="19" spans="1:15" ht="12">
      <c r="A19" s="5"/>
      <c r="B19" s="12" t="s">
        <v>62</v>
      </c>
      <c r="C19" s="2">
        <f aca="true" t="shared" si="2" ref="C19:H19">C17/C14</f>
        <v>0.7732685859636952</v>
      </c>
      <c r="D19" s="2">
        <f t="shared" si="2"/>
        <v>0.8027210884353742</v>
      </c>
      <c r="E19" s="2">
        <f t="shared" si="2"/>
        <v>0.8555140554354236</v>
      </c>
      <c r="F19" s="2">
        <f t="shared" si="2"/>
        <v>0.64321608040201</v>
      </c>
      <c r="G19" s="2">
        <f t="shared" si="2"/>
        <v>0.8013613518540503</v>
      </c>
      <c r="H19" s="2">
        <f t="shared" si="2"/>
        <v>0.795601009754349</v>
      </c>
      <c r="I19" s="13"/>
      <c r="J19" s="2">
        <f aca="true" t="shared" si="3" ref="J19:O19">J17/J14</f>
        <v>0.8248270704804634</v>
      </c>
      <c r="K19" s="2">
        <f t="shared" si="3"/>
        <v>0.8730991791145202</v>
      </c>
      <c r="L19" s="2">
        <f t="shared" si="3"/>
        <v>0.9204968944099379</v>
      </c>
      <c r="M19" s="2">
        <f t="shared" si="3"/>
        <v>0.754970445996776</v>
      </c>
      <c r="N19" s="2">
        <f t="shared" si="3"/>
        <v>0.861819469742967</v>
      </c>
      <c r="O19" s="2">
        <f t="shared" si="3"/>
        <v>0.8579411363148758</v>
      </c>
    </row>
    <row r="20" spans="1:15" ht="12">
      <c r="A20" s="5"/>
      <c r="B20" s="5"/>
      <c r="C20" s="10"/>
      <c r="D20" s="10"/>
      <c r="E20" s="10"/>
      <c r="F20" s="10"/>
      <c r="G20" s="6"/>
      <c r="H20" s="6"/>
      <c r="I20" s="9"/>
      <c r="J20" s="6"/>
      <c r="K20" s="6"/>
      <c r="L20" s="6"/>
      <c r="M20" s="6"/>
      <c r="N20" s="6"/>
      <c r="O20" s="14"/>
    </row>
    <row r="21" spans="1:15" ht="12">
      <c r="A21" s="5"/>
      <c r="B21" s="5" t="s">
        <v>63</v>
      </c>
      <c r="C21" s="3">
        <f>'2003-04'!C19</f>
        <v>0.7932227657797398</v>
      </c>
      <c r="D21" s="3">
        <f>'2003-04'!D19</f>
        <v>0.8320557491289199</v>
      </c>
      <c r="E21" s="3">
        <f>'2003-04'!E19</f>
        <v>0.858592006492189</v>
      </c>
      <c r="F21" s="3">
        <f>'2003-04'!F19</f>
        <v>0.7318982387475538</v>
      </c>
      <c r="G21" s="3">
        <f>'2003-04'!G19</f>
        <v>0.8198824593865391</v>
      </c>
      <c r="H21" s="3">
        <f>'2003-04'!H19</f>
        <v>0.817045176659909</v>
      </c>
      <c r="I21" s="4"/>
      <c r="J21" s="3">
        <f>'2003-04'!J19</f>
        <v>0.8489069452505321</v>
      </c>
      <c r="K21" s="3">
        <f>'2003-04'!K19</f>
        <v>0.8931931377974545</v>
      </c>
      <c r="L21" s="3">
        <f>'2003-04'!L19</f>
        <v>0.9270883631096087</v>
      </c>
      <c r="M21" s="3">
        <f>'2003-04'!M19</f>
        <v>0.8289186662511685</v>
      </c>
      <c r="N21" s="3">
        <f>'2003-04'!N19</f>
        <v>0.8805061040964107</v>
      </c>
      <c r="O21" s="3">
        <f>'2003-04'!O19</f>
        <v>0.8788312601488241</v>
      </c>
    </row>
    <row r="22" spans="1:15" ht="12">
      <c r="A22" s="5"/>
      <c r="B22" s="5"/>
      <c r="C22" s="10"/>
      <c r="D22" s="10"/>
      <c r="E22" s="10"/>
      <c r="F22" s="6"/>
      <c r="G22" s="6"/>
      <c r="H22" s="6"/>
      <c r="I22" s="9"/>
      <c r="J22" s="6"/>
      <c r="K22" s="6"/>
      <c r="L22" s="6"/>
      <c r="M22" s="6"/>
      <c r="N22" s="6"/>
      <c r="O22" s="14"/>
    </row>
    <row r="23" spans="1:15" ht="12">
      <c r="A23" s="5"/>
      <c r="B23" s="5" t="s">
        <v>64</v>
      </c>
      <c r="C23" s="14">
        <f aca="true" t="shared" si="4" ref="C23:H23">C19-C21</f>
        <v>-0.019954179816044637</v>
      </c>
      <c r="D23" s="14">
        <f t="shared" si="4"/>
        <v>-0.029334660693545733</v>
      </c>
      <c r="E23" s="14">
        <f t="shared" si="4"/>
        <v>-0.003077951056765449</v>
      </c>
      <c r="F23" s="14">
        <f t="shared" si="4"/>
        <v>-0.08868215834554383</v>
      </c>
      <c r="G23" s="14">
        <f t="shared" si="4"/>
        <v>-0.018521107532488812</v>
      </c>
      <c r="H23" s="14">
        <f t="shared" si="4"/>
        <v>-0.021444166905559947</v>
      </c>
      <c r="I23" s="9"/>
      <c r="J23" s="14">
        <f aca="true" t="shared" si="5" ref="J23:O23">J19-J21</f>
        <v>-0.024079874770068677</v>
      </c>
      <c r="K23" s="14">
        <f t="shared" si="5"/>
        <v>-0.020093958682934288</v>
      </c>
      <c r="L23" s="14">
        <f t="shared" si="5"/>
        <v>-0.006591468699670866</v>
      </c>
      <c r="M23" s="14">
        <f t="shared" si="5"/>
        <v>-0.07394822025439252</v>
      </c>
      <c r="N23" s="14">
        <f t="shared" si="5"/>
        <v>-0.018686634353443754</v>
      </c>
      <c r="O23" s="14">
        <f t="shared" si="5"/>
        <v>-0.020890123833948282</v>
      </c>
    </row>
    <row r="24" spans="1:15" ht="12">
      <c r="A24" s="5"/>
      <c r="B24" s="5"/>
      <c r="C24" s="6"/>
      <c r="D24" s="6"/>
      <c r="E24" s="6"/>
      <c r="F24" s="6"/>
      <c r="G24" s="6"/>
      <c r="H24" s="6"/>
      <c r="I24" s="9"/>
      <c r="J24" s="6"/>
      <c r="K24" s="6"/>
      <c r="L24" s="6"/>
      <c r="M24" s="6"/>
      <c r="N24" s="6"/>
      <c r="O24" s="6"/>
    </row>
    <row r="25" spans="1:15" ht="12">
      <c r="A25" s="15"/>
      <c r="B25" s="15" t="s">
        <v>65</v>
      </c>
      <c r="C25" s="15"/>
      <c r="D25" s="15"/>
      <c r="E25" s="15"/>
      <c r="F25" s="15"/>
      <c r="G25" s="15"/>
      <c r="H25" s="15"/>
      <c r="I25" s="15"/>
      <c r="J25" s="15"/>
      <c r="K25" s="15"/>
      <c r="L25" s="15"/>
      <c r="M25" s="15"/>
      <c r="N25" s="15"/>
      <c r="O25" s="15"/>
    </row>
    <row r="26" spans="1:15" ht="12">
      <c r="A26" s="15"/>
      <c r="B26" s="15" t="s">
        <v>66</v>
      </c>
      <c r="C26" s="16"/>
      <c r="D26" s="16"/>
      <c r="E26" s="16"/>
      <c r="F26" s="16"/>
      <c r="G26" s="16"/>
      <c r="H26" s="16"/>
      <c r="I26" s="16"/>
      <c r="J26" s="16"/>
      <c r="K26" s="16"/>
      <c r="L26" s="16"/>
      <c r="M26" s="16"/>
      <c r="N26" s="16"/>
      <c r="O26" s="16"/>
    </row>
    <row r="27" spans="1:15" ht="34.5" customHeight="1">
      <c r="A27" s="15"/>
      <c r="B27" s="43" t="s">
        <v>67</v>
      </c>
      <c r="C27" s="43"/>
      <c r="D27" s="43"/>
      <c r="E27" s="43"/>
      <c r="F27" s="43"/>
      <c r="G27" s="43"/>
      <c r="H27" s="43"/>
      <c r="I27" s="43"/>
      <c r="J27" s="43"/>
      <c r="K27" s="43"/>
      <c r="L27" s="43"/>
      <c r="M27" s="43"/>
      <c r="N27" s="43"/>
      <c r="O27" s="43"/>
    </row>
    <row r="28" spans="1:15" ht="12">
      <c r="A28" s="15"/>
      <c r="B28" s="15" t="s">
        <v>0</v>
      </c>
      <c r="C28" s="16"/>
      <c r="D28" s="16"/>
      <c r="E28" s="16"/>
      <c r="F28" s="16"/>
      <c r="G28" s="16"/>
      <c r="H28" s="16"/>
      <c r="I28" s="16"/>
      <c r="J28" s="16"/>
      <c r="K28" s="16"/>
      <c r="L28" s="16"/>
      <c r="M28" s="16"/>
      <c r="N28" s="16"/>
      <c r="O28" s="16"/>
    </row>
    <row r="29" spans="1:15" ht="12">
      <c r="A29" s="15"/>
      <c r="B29" s="15" t="s">
        <v>32</v>
      </c>
      <c r="C29" s="16"/>
      <c r="D29" s="16"/>
      <c r="E29" s="16"/>
      <c r="F29" s="16"/>
      <c r="G29" s="16"/>
      <c r="H29" s="16"/>
      <c r="I29" s="16"/>
      <c r="J29" s="16"/>
      <c r="K29" s="16"/>
      <c r="L29" s="16"/>
      <c r="M29" s="16"/>
      <c r="N29" s="16"/>
      <c r="O29" s="16"/>
    </row>
    <row r="35" spans="3:6" ht="12">
      <c r="C35" s="30"/>
      <c r="D35" s="30"/>
      <c r="E35" s="30"/>
      <c r="F35" s="30"/>
    </row>
  </sheetData>
  <mergeCells count="5">
    <mergeCell ref="B27:O27"/>
    <mergeCell ref="C1:H1"/>
    <mergeCell ref="J1:O1"/>
    <mergeCell ref="C2:H2"/>
    <mergeCell ref="J2:O2"/>
  </mergeCells>
  <printOptions/>
  <pageMargins left="0.75" right="0.75" top="1" bottom="1" header="0.5" footer="0.5"/>
  <pageSetup fitToHeight="1" fitToWidth="1" horizontalDpi="600" verticalDpi="600" orientation="landscape" scale="90"/>
</worksheet>
</file>

<file path=xl/worksheets/sheet8.xml><?xml version="1.0" encoding="utf-8"?>
<worksheet xmlns="http://schemas.openxmlformats.org/spreadsheetml/2006/main" xmlns:r="http://schemas.openxmlformats.org/officeDocument/2006/relationships">
  <sheetPr>
    <pageSetUpPr fitToPage="1"/>
  </sheetPr>
  <dimension ref="A1:O29"/>
  <sheetViews>
    <sheetView zoomScale="150" zoomScaleNormal="150" workbookViewId="0" topLeftCell="A1">
      <selection activeCell="A1" sqref="A1"/>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1</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117.8</v>
      </c>
      <c r="D5" s="10">
        <v>80.9</v>
      </c>
      <c r="E5" s="10">
        <v>66.7</v>
      </c>
      <c r="F5" s="10">
        <v>58.4</v>
      </c>
      <c r="G5" s="11">
        <f aca="true" t="shared" si="0" ref="G5:G12">(C5*35+D5*30+E5*30)/95</f>
        <v>90.01052631578948</v>
      </c>
      <c r="H5" s="10">
        <f>(C5*35+D5*30+E5*30+F5*5)/100</f>
        <v>88.43</v>
      </c>
      <c r="I5" s="1"/>
      <c r="J5" s="11">
        <v>142.4</v>
      </c>
      <c r="K5" s="11">
        <v>100.8</v>
      </c>
      <c r="L5" s="11">
        <v>84.3</v>
      </c>
      <c r="M5" s="11">
        <v>74.5</v>
      </c>
      <c r="N5" s="11">
        <f aca="true" t="shared" si="1" ref="N5:N12">(J5*35+K5*30+L5*30)/95</f>
        <v>110.91578947368421</v>
      </c>
      <c r="O5" s="10">
        <f>(J5*35+K5*30+L5*30+M5*5)/100</f>
        <v>109.095</v>
      </c>
    </row>
    <row r="6" spans="1:15" ht="12">
      <c r="A6" s="5"/>
      <c r="B6" s="5" t="s">
        <v>51</v>
      </c>
      <c r="C6" s="10">
        <v>109.6</v>
      </c>
      <c r="D6" s="10">
        <v>70</v>
      </c>
      <c r="E6" s="10">
        <v>60</v>
      </c>
      <c r="F6" s="10" t="s">
        <v>52</v>
      </c>
      <c r="G6" s="11">
        <f t="shared" si="0"/>
        <v>81.43157894736842</v>
      </c>
      <c r="H6" s="10" t="s">
        <v>52</v>
      </c>
      <c r="I6" s="1"/>
      <c r="J6" s="11">
        <v>141.5</v>
      </c>
      <c r="K6" s="11">
        <v>91.3</v>
      </c>
      <c r="L6" s="11">
        <v>78.2</v>
      </c>
      <c r="M6" s="11" t="s">
        <v>52</v>
      </c>
      <c r="N6" s="11">
        <f t="shared" si="1"/>
        <v>105.65789473684211</v>
      </c>
      <c r="O6" s="10" t="s">
        <v>52</v>
      </c>
    </row>
    <row r="7" spans="1:15" ht="12">
      <c r="A7" s="5"/>
      <c r="B7" s="5" t="s">
        <v>53</v>
      </c>
      <c r="C7" s="10">
        <v>112.9</v>
      </c>
      <c r="D7" s="10">
        <v>75.1</v>
      </c>
      <c r="E7" s="10">
        <v>60.8</v>
      </c>
      <c r="F7" s="10">
        <v>45.1</v>
      </c>
      <c r="G7" s="11">
        <f t="shared" si="0"/>
        <v>84.51052631578948</v>
      </c>
      <c r="H7" s="10">
        <f>(C7*35+D7*30+E7*30+F7*5)/100</f>
        <v>82.54</v>
      </c>
      <c r="I7" s="1"/>
      <c r="J7" s="11">
        <v>139</v>
      </c>
      <c r="K7" s="11">
        <v>95</v>
      </c>
      <c r="L7" s="11">
        <v>77.5</v>
      </c>
      <c r="M7" s="11">
        <v>58.1</v>
      </c>
      <c r="N7" s="11">
        <f t="shared" si="1"/>
        <v>105.6842105263158</v>
      </c>
      <c r="O7" s="10">
        <f>(J7*35+K7*30+L7*30+M7*5)/100</f>
        <v>103.305</v>
      </c>
    </row>
    <row r="8" spans="1:15" ht="12">
      <c r="A8" s="5"/>
      <c r="B8" s="5" t="s">
        <v>54</v>
      </c>
      <c r="C8" s="10">
        <v>100.8</v>
      </c>
      <c r="D8" s="10">
        <v>67.5</v>
      </c>
      <c r="E8" s="10">
        <v>59.8</v>
      </c>
      <c r="F8" s="10" t="s">
        <v>52</v>
      </c>
      <c r="G8" s="11">
        <f t="shared" si="0"/>
        <v>77.33684210526316</v>
      </c>
      <c r="H8" s="10" t="s">
        <v>52</v>
      </c>
      <c r="I8" s="1"/>
      <c r="J8" s="11">
        <v>125.5</v>
      </c>
      <c r="K8" s="11">
        <v>86.6</v>
      </c>
      <c r="L8" s="11">
        <v>77.4</v>
      </c>
      <c r="M8" s="11" t="s">
        <v>52</v>
      </c>
      <c r="N8" s="11">
        <f t="shared" si="1"/>
        <v>98.02631578947368</v>
      </c>
      <c r="O8" s="10" t="s">
        <v>52</v>
      </c>
    </row>
    <row r="9" spans="1:15" ht="12">
      <c r="A9" s="5"/>
      <c r="B9" s="5" t="s">
        <v>55</v>
      </c>
      <c r="C9" s="10">
        <v>106.3</v>
      </c>
      <c r="D9" s="10">
        <v>74.1</v>
      </c>
      <c r="E9" s="10">
        <v>61.8</v>
      </c>
      <c r="F9" s="10">
        <v>65.3</v>
      </c>
      <c r="G9" s="11">
        <f t="shared" si="0"/>
        <v>82.07894736842105</v>
      </c>
      <c r="H9" s="10">
        <f>(C9*35+D9*30+E9*30+F9*5)/100</f>
        <v>81.24</v>
      </c>
      <c r="I9" s="1"/>
      <c r="J9" s="11">
        <v>126.4</v>
      </c>
      <c r="K9" s="11">
        <v>90.4</v>
      </c>
      <c r="L9" s="11">
        <v>76.2</v>
      </c>
      <c r="M9" s="11">
        <v>80</v>
      </c>
      <c r="N9" s="11">
        <f t="shared" si="1"/>
        <v>99.17894736842105</v>
      </c>
      <c r="O9" s="10">
        <f>(J9*35+K9*30+L9*30+M9*5)/100</f>
        <v>98.22</v>
      </c>
    </row>
    <row r="10" spans="1:15" ht="12">
      <c r="A10" s="5"/>
      <c r="B10" s="5" t="s">
        <v>56</v>
      </c>
      <c r="C10" s="10">
        <v>99.1</v>
      </c>
      <c r="D10" s="10">
        <v>68.5</v>
      </c>
      <c r="E10" s="10">
        <v>59.6</v>
      </c>
      <c r="F10" s="10" t="s">
        <v>52</v>
      </c>
      <c r="G10" s="11">
        <f t="shared" si="0"/>
        <v>76.96315789473684</v>
      </c>
      <c r="H10" s="10" t="s">
        <v>52</v>
      </c>
      <c r="I10" s="1"/>
      <c r="J10" s="11">
        <v>126.5</v>
      </c>
      <c r="K10" s="11">
        <v>89</v>
      </c>
      <c r="L10" s="11">
        <v>76.4</v>
      </c>
      <c r="M10" s="11" t="s">
        <v>52</v>
      </c>
      <c r="N10" s="11">
        <f t="shared" si="1"/>
        <v>98.83684210526316</v>
      </c>
      <c r="O10" s="10" t="s">
        <v>52</v>
      </c>
    </row>
    <row r="11" spans="1:15" ht="12">
      <c r="A11" s="5"/>
      <c r="B11" s="5" t="s">
        <v>57</v>
      </c>
      <c r="C11" s="10">
        <v>98.4</v>
      </c>
      <c r="D11" s="10">
        <v>71.2</v>
      </c>
      <c r="E11" s="10">
        <v>61</v>
      </c>
      <c r="F11" s="10">
        <v>43.9</v>
      </c>
      <c r="G11" s="11">
        <f t="shared" si="0"/>
        <v>78</v>
      </c>
      <c r="H11" s="10">
        <f>(C11*35+D11*30+E11*30+F11*5)/100</f>
        <v>76.295</v>
      </c>
      <c r="I11" s="1"/>
      <c r="J11" s="11">
        <v>118.7</v>
      </c>
      <c r="K11" s="11">
        <v>87.3</v>
      </c>
      <c r="L11" s="11">
        <v>75.2</v>
      </c>
      <c r="M11" s="11">
        <v>55</v>
      </c>
      <c r="N11" s="11">
        <f t="shared" si="1"/>
        <v>95.04736842105264</v>
      </c>
      <c r="O11" s="10">
        <f>(J11*35+K11*30+L11*30+M11*5)/100</f>
        <v>93.045</v>
      </c>
    </row>
    <row r="12" spans="1:15" ht="12">
      <c r="A12" s="5"/>
      <c r="B12" s="5" t="s">
        <v>58</v>
      </c>
      <c r="C12" s="10">
        <v>93.2</v>
      </c>
      <c r="D12" s="10">
        <v>66.7</v>
      </c>
      <c r="E12" s="10">
        <v>63.2</v>
      </c>
      <c r="F12" s="10">
        <v>42.8</v>
      </c>
      <c r="G12" s="11">
        <f t="shared" si="0"/>
        <v>75.3578947368421</v>
      </c>
      <c r="H12" s="10">
        <f>(C12*35+D12*30+E12*30+F12*5)/100</f>
        <v>73.73</v>
      </c>
      <c r="I12" s="1"/>
      <c r="J12" s="11">
        <v>113.8</v>
      </c>
      <c r="K12" s="11">
        <v>82.4</v>
      </c>
      <c r="L12" s="11">
        <v>76.1</v>
      </c>
      <c r="M12" s="11">
        <v>53.3</v>
      </c>
      <c r="N12" s="11">
        <f t="shared" si="1"/>
        <v>91.97894736842105</v>
      </c>
      <c r="O12" s="10">
        <f>(J12*35+K12*30+L12*30+M12*5)/100</f>
        <v>90.045</v>
      </c>
    </row>
    <row r="13" spans="1:15" ht="12">
      <c r="A13" s="5"/>
      <c r="B13" s="5"/>
      <c r="C13" s="10"/>
      <c r="D13" s="10"/>
      <c r="E13" s="10"/>
      <c r="F13" s="10"/>
      <c r="G13" s="6"/>
      <c r="H13" s="10"/>
      <c r="I13" s="1"/>
      <c r="J13" s="6"/>
      <c r="K13" s="6"/>
      <c r="L13" s="6"/>
      <c r="M13" s="6"/>
      <c r="N13" s="6"/>
      <c r="O13" s="10"/>
    </row>
    <row r="14" spans="1:15" ht="12">
      <c r="A14" s="5"/>
      <c r="B14" s="5" t="s">
        <v>59</v>
      </c>
      <c r="C14" s="10">
        <f>AVERAGE(C5:C12)</f>
        <v>104.7625</v>
      </c>
      <c r="D14" s="10">
        <f>AVERAGE(D5:D12)</f>
        <v>71.75</v>
      </c>
      <c r="E14" s="10">
        <f>AVERAGE(E5:E12)</f>
        <v>61.612500000000004</v>
      </c>
      <c r="F14" s="10">
        <f>AVERAGE(F5:F12)</f>
        <v>51.1</v>
      </c>
      <c r="G14" s="11">
        <f>(C14*35+D14*30+E14*30)/95</f>
        <v>80.71118421052631</v>
      </c>
      <c r="H14" s="10">
        <f>(C14*35+D14*30+E14*30+F14*5)/100</f>
        <v>79.230625</v>
      </c>
      <c r="I14" s="1"/>
      <c r="J14" s="10">
        <f>AVERAGE(J5:J12)</f>
        <v>129.225</v>
      </c>
      <c r="K14" s="10">
        <f>AVERAGE(K5:K12)</f>
        <v>90.35</v>
      </c>
      <c r="L14" s="10">
        <f>AVERAGE(L5:L12)</f>
        <v>77.66250000000001</v>
      </c>
      <c r="M14" s="10">
        <f>AVERAGE(M5:M12)</f>
        <v>64.18</v>
      </c>
      <c r="N14" s="11">
        <f>(J14*35+K14*30+L14*30)/95</f>
        <v>100.66578947368421</v>
      </c>
      <c r="O14" s="10">
        <f>(J14*35+K14*30+L14*30+M14*5)/100</f>
        <v>98.8415</v>
      </c>
    </row>
    <row r="15" spans="1:15" ht="12">
      <c r="A15" s="5"/>
      <c r="B15" s="5" t="s">
        <v>60</v>
      </c>
      <c r="C15" s="10">
        <f>Ratios!N80/Ratios!I78</f>
        <v>104.81270559210529</v>
      </c>
      <c r="D15" s="10">
        <f>Ratios!O80/Ratios!J78</f>
        <v>71.96511805026657</v>
      </c>
      <c r="E15" s="10">
        <f>Ratios!P80/Ratios!K78</f>
        <v>62.40205278592376</v>
      </c>
      <c r="F15" s="10">
        <f>Ratios!Q80/Ratios!L78</f>
        <v>45.21415094339623</v>
      </c>
      <c r="G15" s="11">
        <f>(C15*35+D15*30+E15*30)/95</f>
        <v>81.04694548220415</v>
      </c>
      <c r="H15" s="10">
        <f>(C15*35+D15*30+E15*30+F15*5)/100</f>
        <v>79.25530575526376</v>
      </c>
      <c r="I15" s="9"/>
      <c r="J15" s="11">
        <f>Ratios!S80/Ratios!I78</f>
        <v>129.08295641447367</v>
      </c>
      <c r="K15" s="11">
        <f>Ratios!T80/Ratios!J78</f>
        <v>90.45483625285607</v>
      </c>
      <c r="L15" s="11">
        <f>Ratios!U80/Ratios!K78</f>
        <v>78.44051110180142</v>
      </c>
      <c r="M15" s="11">
        <f>Ratios!V80/Ratios!L78</f>
        <v>56.65094339622642</v>
      </c>
      <c r="N15" s="11">
        <f>(J15*35+K15*30+L15*30)/95</f>
        <v>100.89225152785582</v>
      </c>
      <c r="O15" s="10">
        <f>(J15*35+K15*30+L15*30+M15*5)/100</f>
        <v>98.68018612127435</v>
      </c>
    </row>
    <row r="16" spans="1:15" ht="12">
      <c r="A16" s="5"/>
      <c r="B16" s="5"/>
      <c r="C16" s="10"/>
      <c r="D16" s="10"/>
      <c r="E16" s="10"/>
      <c r="F16" s="10"/>
      <c r="G16" s="11"/>
      <c r="H16" s="10"/>
      <c r="I16" s="9"/>
      <c r="J16" s="6"/>
      <c r="K16" s="6"/>
      <c r="L16" s="6"/>
      <c r="M16" s="6"/>
      <c r="N16" s="11"/>
      <c r="O16" s="10"/>
    </row>
    <row r="17" spans="1:15" ht="12">
      <c r="A17" s="5"/>
      <c r="B17" s="5" t="s">
        <v>61</v>
      </c>
      <c r="C17" s="10">
        <v>83.1</v>
      </c>
      <c r="D17" s="10">
        <v>59.7</v>
      </c>
      <c r="E17" s="10">
        <v>52.9</v>
      </c>
      <c r="F17" s="10">
        <v>37.4</v>
      </c>
      <c r="G17" s="11">
        <f>(C17*35+D17*30+E17*30)/95</f>
        <v>66.17368421052632</v>
      </c>
      <c r="H17" s="10">
        <f>(C17*35+D17*30+E17*30+F17*5)/100</f>
        <v>64.735</v>
      </c>
      <c r="I17" s="9"/>
      <c r="J17" s="6">
        <v>109.7</v>
      </c>
      <c r="K17" s="6">
        <v>80.7</v>
      </c>
      <c r="L17" s="11">
        <v>72</v>
      </c>
      <c r="M17" s="6">
        <v>53.2</v>
      </c>
      <c r="N17" s="11">
        <f>(J17*35+K17*30+L17*30)/95</f>
        <v>88.63684210526316</v>
      </c>
      <c r="O17" s="10">
        <f>(J17*35+K17*30+L17*30+M17*5)/100</f>
        <v>86.865</v>
      </c>
    </row>
    <row r="18" spans="1:15" ht="12">
      <c r="A18" s="5"/>
      <c r="B18" s="5"/>
      <c r="C18" s="10"/>
      <c r="D18" s="10"/>
      <c r="E18" s="10"/>
      <c r="F18" s="10"/>
      <c r="G18" s="6"/>
      <c r="H18" s="10"/>
      <c r="I18" s="9"/>
      <c r="J18" s="6"/>
      <c r="K18" s="6"/>
      <c r="L18" s="6"/>
      <c r="M18" s="6"/>
      <c r="N18" s="6"/>
      <c r="O18" s="6"/>
    </row>
    <row r="19" spans="1:15" ht="12">
      <c r="A19" s="5"/>
      <c r="B19" s="12" t="s">
        <v>62</v>
      </c>
      <c r="C19" s="2">
        <f aca="true" t="shared" si="2" ref="C19:H19">C17/C14</f>
        <v>0.7932227657797398</v>
      </c>
      <c r="D19" s="2">
        <f t="shared" si="2"/>
        <v>0.8320557491289199</v>
      </c>
      <c r="E19" s="2">
        <f t="shared" si="2"/>
        <v>0.858592006492189</v>
      </c>
      <c r="F19" s="2">
        <f t="shared" si="2"/>
        <v>0.7318982387475538</v>
      </c>
      <c r="G19" s="2">
        <f t="shared" si="2"/>
        <v>0.8198824593865391</v>
      </c>
      <c r="H19" s="2">
        <f t="shared" si="2"/>
        <v>0.817045176659909</v>
      </c>
      <c r="I19" s="13"/>
      <c r="J19" s="2">
        <f aca="true" t="shared" si="3" ref="J19:O19">J17/J14</f>
        <v>0.8489069452505321</v>
      </c>
      <c r="K19" s="2">
        <f t="shared" si="3"/>
        <v>0.8931931377974545</v>
      </c>
      <c r="L19" s="2">
        <f t="shared" si="3"/>
        <v>0.9270883631096087</v>
      </c>
      <c r="M19" s="2">
        <f t="shared" si="3"/>
        <v>0.8289186662511685</v>
      </c>
      <c r="N19" s="2">
        <f t="shared" si="3"/>
        <v>0.8805061040964107</v>
      </c>
      <c r="O19" s="2">
        <f t="shared" si="3"/>
        <v>0.8788312601488241</v>
      </c>
    </row>
    <row r="20" spans="1:15" ht="12">
      <c r="A20" s="5"/>
      <c r="B20" s="5"/>
      <c r="C20" s="10"/>
      <c r="D20" s="10"/>
      <c r="E20" s="10"/>
      <c r="F20" s="10"/>
      <c r="G20" s="6"/>
      <c r="H20" s="6"/>
      <c r="I20" s="9"/>
      <c r="J20" s="6"/>
      <c r="K20" s="6"/>
      <c r="L20" s="6"/>
      <c r="M20" s="6"/>
      <c r="N20" s="6"/>
      <c r="O20" s="14"/>
    </row>
    <row r="21" spans="1:15" ht="12">
      <c r="A21" s="5"/>
      <c r="B21" s="5" t="s">
        <v>63</v>
      </c>
      <c r="C21" s="3">
        <f>'2002-03'!C20</f>
        <v>0.8035233667726938</v>
      </c>
      <c r="D21" s="3">
        <f>'2002-03'!D20</f>
        <v>0.8526466380543635</v>
      </c>
      <c r="E21" s="3">
        <f>'2002-03'!E20</f>
        <v>0.850177120233382</v>
      </c>
      <c r="F21" s="3">
        <f>'2002-03'!F20</f>
        <v>0.7255210381439244</v>
      </c>
      <c r="G21" s="3">
        <f>'2002-03'!G20</f>
        <v>0.8285437088086716</v>
      </c>
      <c r="H21" s="3">
        <f>'2002-03'!H20</f>
        <v>0.8251531955921082</v>
      </c>
      <c r="I21" s="4"/>
      <c r="J21" s="3">
        <f>'2002-03'!J20</f>
        <v>0.8465295269873453</v>
      </c>
      <c r="K21" s="3">
        <f>'2002-03'!K20</f>
        <v>0.9023786174415687</v>
      </c>
      <c r="L21" s="3">
        <f>'2002-03'!L20</f>
        <v>0.9146225165562915</v>
      </c>
      <c r="M21" s="3">
        <f>'2002-03'!M20</f>
        <v>0.8425216842090153</v>
      </c>
      <c r="N21" s="3">
        <f>'2002-03'!N20</f>
        <v>0.8789268157645316</v>
      </c>
      <c r="O21" s="3">
        <f>'2002-03'!O20</f>
        <v>0.8777419737582343</v>
      </c>
    </row>
    <row r="22" spans="1:15" ht="12">
      <c r="A22" s="5"/>
      <c r="B22" s="5"/>
      <c r="C22" s="10"/>
      <c r="D22" s="10"/>
      <c r="E22" s="10"/>
      <c r="F22" s="6"/>
      <c r="G22" s="6"/>
      <c r="H22" s="6"/>
      <c r="I22" s="9"/>
      <c r="J22" s="6"/>
      <c r="K22" s="6"/>
      <c r="L22" s="6"/>
      <c r="M22" s="6"/>
      <c r="N22" s="6"/>
      <c r="O22" s="14"/>
    </row>
    <row r="23" spans="1:15" ht="12">
      <c r="A23" s="5"/>
      <c r="B23" s="5" t="s">
        <v>64</v>
      </c>
      <c r="C23" s="14">
        <f aca="true" t="shared" si="4" ref="C23:H23">C19-C21</f>
        <v>-0.010300600992953934</v>
      </c>
      <c r="D23" s="14">
        <f t="shared" si="4"/>
        <v>-0.020590888925443585</v>
      </c>
      <c r="E23" s="14">
        <f t="shared" si="4"/>
        <v>0.008414886258807042</v>
      </c>
      <c r="F23" s="14">
        <f t="shared" si="4"/>
        <v>0.0063772006036293405</v>
      </c>
      <c r="G23" s="14">
        <f t="shared" si="4"/>
        <v>-0.008661249422132422</v>
      </c>
      <c r="H23" s="14">
        <f t="shared" si="4"/>
        <v>-0.008108018932199257</v>
      </c>
      <c r="I23" s="9"/>
      <c r="J23" s="14">
        <f aca="true" t="shared" si="5" ref="J23:O23">J19-J21</f>
        <v>0.0023774182631868257</v>
      </c>
      <c r="K23" s="14">
        <f t="shared" si="5"/>
        <v>-0.009185479644114203</v>
      </c>
      <c r="L23" s="14">
        <f t="shared" si="5"/>
        <v>0.012465846553317284</v>
      </c>
      <c r="M23" s="14">
        <f t="shared" si="5"/>
        <v>-0.013603017957846797</v>
      </c>
      <c r="N23" s="14">
        <f t="shared" si="5"/>
        <v>0.0015792883318791473</v>
      </c>
      <c r="O23" s="14">
        <f t="shared" si="5"/>
        <v>0.0010892863905898054</v>
      </c>
    </row>
    <row r="24" spans="1:15" ht="12">
      <c r="A24" s="5"/>
      <c r="B24" s="5"/>
      <c r="C24" s="14"/>
      <c r="D24" s="14"/>
      <c r="E24" s="14"/>
      <c r="F24" s="14"/>
      <c r="G24" s="14"/>
      <c r="H24" s="14"/>
      <c r="I24" s="9"/>
      <c r="J24" s="14"/>
      <c r="K24" s="14"/>
      <c r="L24" s="14"/>
      <c r="M24" s="14"/>
      <c r="N24" s="14"/>
      <c r="O24" s="14"/>
    </row>
    <row r="25" spans="1:15" ht="12">
      <c r="A25" s="15"/>
      <c r="B25" s="15" t="str">
        <f>'2004-05'!B25</f>
        <v>Notes:</v>
      </c>
      <c r="C25" s="17"/>
      <c r="D25" s="17"/>
      <c r="E25" s="17"/>
      <c r="F25" s="17"/>
      <c r="G25" s="17"/>
      <c r="H25" s="17"/>
      <c r="I25" s="16"/>
      <c r="J25" s="17"/>
      <c r="K25" s="17"/>
      <c r="L25" s="17"/>
      <c r="M25" s="17"/>
      <c r="N25" s="17"/>
      <c r="O25" s="17"/>
    </row>
    <row r="26" spans="1:15" ht="12">
      <c r="A26" s="15"/>
      <c r="B26" s="15" t="str">
        <f>'2004-05'!B26</f>
        <v>1. Salary. This figure represents the contracted salary excluding summer teaching, stipends, extra load, or other forms of remuneration.</v>
      </c>
      <c r="C26" s="17"/>
      <c r="D26" s="17"/>
      <c r="E26" s="17"/>
      <c r="F26" s="17"/>
      <c r="G26" s="17"/>
      <c r="H26" s="17"/>
      <c r="I26" s="16"/>
      <c r="J26" s="17"/>
      <c r="K26" s="17"/>
      <c r="L26" s="17"/>
      <c r="M26" s="17"/>
      <c r="N26" s="17"/>
      <c r="O26" s="17"/>
    </row>
    <row r="27" spans="1:15" ht="34.5" customHeight="1">
      <c r="A27" s="18"/>
      <c r="B27" s="43" t="str">
        <f>'2004-05'!B27</f>
        <v>2. Benefits. Compensation includes benefits made by the institution on behalf of the individual faculty member; the amount does not include the employee contribution. Major benefits include a) retirement, b) medical insurance, c) disability income protection, d) tuition for faculty dependents, e) dental insurance, f) social security, g) unemployment insurance, h) group life insurance, i) workers' compensation insurance, j) other benefits in-kind with cash alternatives.</v>
      </c>
      <c r="C27" s="43"/>
      <c r="D27" s="43"/>
      <c r="E27" s="43"/>
      <c r="F27" s="43"/>
      <c r="G27" s="43"/>
      <c r="H27" s="43"/>
      <c r="I27" s="43"/>
      <c r="J27" s="43"/>
      <c r="K27" s="43"/>
      <c r="L27" s="43"/>
      <c r="M27" s="43"/>
      <c r="N27" s="43"/>
      <c r="O27" s="43"/>
    </row>
    <row r="28" spans="1:15" ht="12">
      <c r="A28" s="15"/>
      <c r="B28" s="15" t="str">
        <f>'2004-05'!B28</f>
        <v>3. Total Compensation. Total compensation includes salary plus institutional contribution to benefits.</v>
      </c>
      <c r="C28" s="17"/>
      <c r="D28" s="17"/>
      <c r="E28" s="17"/>
      <c r="F28" s="17"/>
      <c r="G28" s="17"/>
      <c r="H28" s="17"/>
      <c r="I28" s="16"/>
      <c r="J28" s="17"/>
      <c r="K28" s="17"/>
      <c r="L28" s="17"/>
      <c r="M28" s="17"/>
      <c r="N28" s="17"/>
      <c r="O28" s="17"/>
    </row>
    <row r="29" spans="1:15" ht="12">
      <c r="A29" s="15"/>
      <c r="B29" s="15" t="str">
        <f>'2004-05'!B29</f>
        <v>Source: UO Office of Institutional Research.</v>
      </c>
      <c r="C29" s="17"/>
      <c r="D29" s="17"/>
      <c r="E29" s="17"/>
      <c r="F29" s="17"/>
      <c r="G29" s="17"/>
      <c r="H29" s="17"/>
      <c r="I29" s="16"/>
      <c r="J29" s="17"/>
      <c r="K29" s="17"/>
      <c r="L29" s="17"/>
      <c r="M29" s="17"/>
      <c r="N29" s="17"/>
      <c r="O29" s="17"/>
    </row>
  </sheetData>
  <mergeCells count="5">
    <mergeCell ref="J1:O1"/>
    <mergeCell ref="C2:H2"/>
    <mergeCell ref="J2:O2"/>
    <mergeCell ref="B27:O27"/>
    <mergeCell ref="C1:H1"/>
  </mergeCells>
  <printOptions/>
  <pageMargins left="0.75" right="0.75" top="1" bottom="1" header="0.5" footer="0.5"/>
  <pageSetup fitToHeight="1" fitToWidth="1" horizontalDpi="600" verticalDpi="600" orientation="landscape" scale="90"/>
</worksheet>
</file>

<file path=xl/worksheets/sheet9.xml><?xml version="1.0" encoding="utf-8"?>
<worksheet xmlns="http://schemas.openxmlformats.org/spreadsheetml/2006/main" xmlns:r="http://schemas.openxmlformats.org/officeDocument/2006/relationships">
  <sheetPr>
    <pageSetUpPr fitToPage="1"/>
  </sheetPr>
  <dimension ref="A1:O30"/>
  <sheetViews>
    <sheetView zoomScale="150" zoomScaleNormal="150" workbookViewId="0" topLeftCell="A1">
      <selection activeCell="A18" sqref="A18:IV18"/>
    </sheetView>
  </sheetViews>
  <sheetFormatPr defaultColWidth="11.421875" defaultRowHeight="12.75"/>
  <cols>
    <col min="1" max="1" width="1.7109375" style="0" customWidth="1"/>
    <col min="2" max="2" width="24.421875" style="0" customWidth="1"/>
    <col min="3" max="8" width="8.8515625" style="0" customWidth="1"/>
    <col min="9" max="9" width="0.42578125" style="0" customWidth="1"/>
    <col min="10" max="16384" width="8.8515625" style="0" customWidth="1"/>
  </cols>
  <sheetData>
    <row r="1" spans="1:15" ht="12">
      <c r="A1" s="5"/>
      <c r="B1" s="5"/>
      <c r="C1" s="44" t="s">
        <v>40</v>
      </c>
      <c r="D1" s="44"/>
      <c r="E1" s="44"/>
      <c r="F1" s="44"/>
      <c r="G1" s="44"/>
      <c r="H1" s="44"/>
      <c r="I1" s="6"/>
      <c r="J1" s="44" t="s">
        <v>41</v>
      </c>
      <c r="K1" s="44"/>
      <c r="L1" s="44"/>
      <c r="M1" s="44"/>
      <c r="N1" s="44"/>
      <c r="O1" s="44"/>
    </row>
    <row r="2" spans="1:15" ht="12.75" thickBot="1">
      <c r="A2" s="5"/>
      <c r="B2" s="5"/>
      <c r="C2" s="45" t="s">
        <v>42</v>
      </c>
      <c r="D2" s="45"/>
      <c r="E2" s="45"/>
      <c r="F2" s="45"/>
      <c r="G2" s="45"/>
      <c r="H2" s="45"/>
      <c r="I2" s="6"/>
      <c r="J2" s="45" t="s">
        <v>42</v>
      </c>
      <c r="K2" s="45"/>
      <c r="L2" s="45"/>
      <c r="M2" s="45"/>
      <c r="N2" s="45"/>
      <c r="O2" s="45"/>
    </row>
    <row r="3" spans="1:15" ht="30">
      <c r="A3" s="5"/>
      <c r="B3" s="7" t="s">
        <v>2</v>
      </c>
      <c r="C3" s="8" t="s">
        <v>44</v>
      </c>
      <c r="D3" s="8" t="s">
        <v>45</v>
      </c>
      <c r="E3" s="8" t="s">
        <v>46</v>
      </c>
      <c r="F3" s="8" t="s">
        <v>47</v>
      </c>
      <c r="G3" s="8" t="s">
        <v>48</v>
      </c>
      <c r="H3" s="8" t="s">
        <v>49</v>
      </c>
      <c r="I3" s="9"/>
      <c r="J3" s="8" t="s">
        <v>44</v>
      </c>
      <c r="K3" s="8" t="s">
        <v>45</v>
      </c>
      <c r="L3" s="8" t="s">
        <v>46</v>
      </c>
      <c r="M3" s="8" t="s">
        <v>47</v>
      </c>
      <c r="N3" s="8" t="s">
        <v>48</v>
      </c>
      <c r="O3" s="8" t="s">
        <v>49</v>
      </c>
    </row>
    <row r="4" spans="1:15" ht="12">
      <c r="A4" s="5"/>
      <c r="B4" s="6"/>
      <c r="C4" s="6"/>
      <c r="D4" s="6"/>
      <c r="E4" s="6"/>
      <c r="F4" s="6"/>
      <c r="G4" s="6"/>
      <c r="H4" s="6"/>
      <c r="I4" s="9"/>
      <c r="J4" s="6"/>
      <c r="K4" s="6"/>
      <c r="L4" s="6"/>
      <c r="M4" s="6"/>
      <c r="N4" s="6"/>
      <c r="O4" s="6"/>
    </row>
    <row r="5" spans="1:15" ht="12">
      <c r="A5" s="5"/>
      <c r="B5" s="5" t="s">
        <v>50</v>
      </c>
      <c r="C5" s="10">
        <v>114.8</v>
      </c>
      <c r="D5" s="10">
        <v>78.9</v>
      </c>
      <c r="E5" s="10">
        <v>65.3</v>
      </c>
      <c r="F5" s="10">
        <v>56.2</v>
      </c>
      <c r="G5" s="11">
        <f aca="true" t="shared" si="0" ref="G5:G12">(C5*35+D5*30+E5*30)/95</f>
        <v>87.83157894736843</v>
      </c>
      <c r="H5" s="10">
        <f>(C5*35+D5*30+E5*30+F5*5)/100</f>
        <v>86.25</v>
      </c>
      <c r="I5" s="1"/>
      <c r="J5" s="11">
        <v>138.1</v>
      </c>
      <c r="K5" s="11">
        <v>97.7</v>
      </c>
      <c r="L5" s="11">
        <v>81.7</v>
      </c>
      <c r="M5" s="11">
        <v>71.1</v>
      </c>
      <c r="N5" s="11">
        <f aca="true" t="shared" si="1" ref="N5:N12">(J5*35+K5*30+L5*30)/95</f>
        <v>107.53157894736842</v>
      </c>
      <c r="O5" s="10">
        <f>(J5*35+K5*30+L5*30+M5*5)/100</f>
        <v>105.71</v>
      </c>
    </row>
    <row r="6" spans="1:15" ht="12">
      <c r="A6" s="5"/>
      <c r="B6" s="5" t="s">
        <v>51</v>
      </c>
      <c r="C6" s="10">
        <v>106.6</v>
      </c>
      <c r="D6" s="10">
        <v>68</v>
      </c>
      <c r="E6" s="10">
        <v>57.7</v>
      </c>
      <c r="F6" s="10" t="s">
        <v>52</v>
      </c>
      <c r="G6" s="11">
        <f t="shared" si="0"/>
        <v>78.96842105263158</v>
      </c>
      <c r="H6" s="10" t="s">
        <v>52</v>
      </c>
      <c r="I6" s="1"/>
      <c r="J6" s="11">
        <v>142.2</v>
      </c>
      <c r="K6" s="11">
        <v>92.6</v>
      </c>
      <c r="L6" s="11">
        <v>79.3</v>
      </c>
      <c r="M6" s="11" t="s">
        <v>52</v>
      </c>
      <c r="N6" s="11">
        <f t="shared" si="1"/>
        <v>106.67368421052632</v>
      </c>
      <c r="O6" s="10" t="s">
        <v>52</v>
      </c>
    </row>
    <row r="7" spans="1:15" ht="12">
      <c r="A7" s="5"/>
      <c r="B7" s="5" t="s">
        <v>53</v>
      </c>
      <c r="C7" s="10">
        <v>107.7</v>
      </c>
      <c r="D7" s="10">
        <v>71.3</v>
      </c>
      <c r="E7" s="10">
        <v>57.4</v>
      </c>
      <c r="F7" s="10">
        <v>44.6</v>
      </c>
      <c r="G7" s="11">
        <f t="shared" si="0"/>
        <v>80.32105263157895</v>
      </c>
      <c r="H7" s="10">
        <f>(C7*35+D7*30+E7*30+F7*5)/100</f>
        <v>78.535</v>
      </c>
      <c r="I7" s="1"/>
      <c r="J7" s="11">
        <v>130.1</v>
      </c>
      <c r="K7" s="11">
        <v>88.3</v>
      </c>
      <c r="L7" s="11">
        <v>71.2</v>
      </c>
      <c r="M7" s="11">
        <v>53.9</v>
      </c>
      <c r="N7" s="11">
        <f t="shared" si="1"/>
        <v>98.3</v>
      </c>
      <c r="O7" s="10">
        <f>(J7*35+K7*30+L7*30+M7*5)/100</f>
        <v>96.08</v>
      </c>
    </row>
    <row r="8" spans="1:15" ht="12">
      <c r="A8" s="5"/>
      <c r="B8" s="5" t="s">
        <v>54</v>
      </c>
      <c r="C8" s="10">
        <v>99.4</v>
      </c>
      <c r="D8" s="10">
        <v>65.8</v>
      </c>
      <c r="E8" s="10">
        <v>59.3</v>
      </c>
      <c r="F8" s="10" t="s">
        <v>52</v>
      </c>
      <c r="G8" s="11">
        <f t="shared" si="0"/>
        <v>76.12631578947368</v>
      </c>
      <c r="H8" s="10" t="s">
        <v>52</v>
      </c>
      <c r="I8" s="1"/>
      <c r="J8" s="11">
        <v>123</v>
      </c>
      <c r="K8" s="11">
        <v>84</v>
      </c>
      <c r="L8" s="11">
        <v>76.3</v>
      </c>
      <c r="M8" s="11" t="s">
        <v>52</v>
      </c>
      <c r="N8" s="11">
        <f t="shared" si="1"/>
        <v>95.93684210526315</v>
      </c>
      <c r="O8" s="10" t="s">
        <v>52</v>
      </c>
    </row>
    <row r="9" spans="1:15" ht="12">
      <c r="A9" s="5"/>
      <c r="B9" s="5" t="s">
        <v>55</v>
      </c>
      <c r="C9" s="10">
        <v>105.2</v>
      </c>
      <c r="D9" s="10">
        <v>73.4</v>
      </c>
      <c r="E9" s="10">
        <v>61.3</v>
      </c>
      <c r="F9" s="10">
        <v>66.7</v>
      </c>
      <c r="G9" s="11">
        <f t="shared" si="0"/>
        <v>81.29473684210527</v>
      </c>
      <c r="H9" s="10">
        <f>(C9*35+D9*30+E9*30+F9*5)/100</f>
        <v>80.565</v>
      </c>
      <c r="I9" s="1"/>
      <c r="J9" s="11">
        <v>123.7</v>
      </c>
      <c r="K9" s="11">
        <v>88.4</v>
      </c>
      <c r="L9" s="11">
        <v>74.7</v>
      </c>
      <c r="M9" s="11">
        <v>80.2</v>
      </c>
      <c r="N9" s="11">
        <f t="shared" si="1"/>
        <v>97.07894736842105</v>
      </c>
      <c r="O9" s="10">
        <f>(J9*35+K9*30+L9*30+M9*5)/100</f>
        <v>96.235</v>
      </c>
    </row>
    <row r="10" spans="1:15" ht="12">
      <c r="A10" s="5"/>
      <c r="B10" s="5" t="s">
        <v>56</v>
      </c>
      <c r="C10" s="10">
        <v>96.8</v>
      </c>
      <c r="D10" s="10">
        <v>66.2</v>
      </c>
      <c r="E10" s="10">
        <v>58.8</v>
      </c>
      <c r="F10" s="10" t="s">
        <v>52</v>
      </c>
      <c r="G10" s="11">
        <f t="shared" si="0"/>
        <v>75.13684210526316</v>
      </c>
      <c r="H10" s="10" t="s">
        <v>52</v>
      </c>
      <c r="I10" s="1"/>
      <c r="J10" s="11">
        <v>123.1</v>
      </c>
      <c r="K10" s="11">
        <v>85.6</v>
      </c>
      <c r="L10" s="11">
        <v>74.6</v>
      </c>
      <c r="M10" s="11" t="s">
        <v>52</v>
      </c>
      <c r="N10" s="11">
        <f t="shared" si="1"/>
        <v>95.9421052631579</v>
      </c>
      <c r="O10" s="10" t="s">
        <v>52</v>
      </c>
    </row>
    <row r="11" spans="1:15" ht="12">
      <c r="A11" s="5"/>
      <c r="B11" s="5" t="s">
        <v>57</v>
      </c>
      <c r="C11" s="10">
        <v>95.7</v>
      </c>
      <c r="D11" s="10">
        <v>69.8</v>
      </c>
      <c r="E11" s="10">
        <v>59.9</v>
      </c>
      <c r="F11" s="10">
        <v>44.6</v>
      </c>
      <c r="G11" s="11">
        <f t="shared" si="0"/>
        <v>76.21578947368421</v>
      </c>
      <c r="H11" s="10">
        <f>(C11*35+D11*30+E11*30+F11*5)/100</f>
        <v>74.635</v>
      </c>
      <c r="I11" s="1"/>
      <c r="J11" s="11">
        <v>115.2</v>
      </c>
      <c r="K11" s="11">
        <v>85.2</v>
      </c>
      <c r="L11" s="11">
        <v>73.5</v>
      </c>
      <c r="M11" s="11">
        <v>55.5</v>
      </c>
      <c r="N11" s="11">
        <f t="shared" si="1"/>
        <v>92.5578947368421</v>
      </c>
      <c r="O11" s="10">
        <f>(J11*35+K11*30+L11*30+M11*5)/100</f>
        <v>90.705</v>
      </c>
    </row>
    <row r="12" spans="1:15" ht="12">
      <c r="A12" s="5"/>
      <c r="B12" s="5" t="s">
        <v>58</v>
      </c>
      <c r="C12" s="10">
        <v>91.2</v>
      </c>
      <c r="D12" s="10">
        <v>65.8</v>
      </c>
      <c r="E12" s="10">
        <v>60.2</v>
      </c>
      <c r="F12" s="10">
        <v>42.2</v>
      </c>
      <c r="G12" s="11">
        <f t="shared" si="0"/>
        <v>73.38947368421053</v>
      </c>
      <c r="H12" s="10">
        <f>(C12*35+D12*30+E12*30+F12*5)/100</f>
        <v>71.83</v>
      </c>
      <c r="I12" s="1"/>
      <c r="J12" s="11">
        <v>111.4</v>
      </c>
      <c r="K12" s="11">
        <v>81.5</v>
      </c>
      <c r="L12" s="11">
        <v>72.7</v>
      </c>
      <c r="M12" s="11">
        <v>52.4</v>
      </c>
      <c r="N12" s="11">
        <f t="shared" si="1"/>
        <v>89.73684210526316</v>
      </c>
      <c r="O12" s="10">
        <f>(J12*35+K12*30+L12*30+M12*5)/100</f>
        <v>87.87</v>
      </c>
    </row>
    <row r="13" spans="1:15" ht="12">
      <c r="A13" s="5"/>
      <c r="B13" s="5"/>
      <c r="C13" s="10"/>
      <c r="D13" s="10"/>
      <c r="E13" s="10"/>
      <c r="F13" s="10"/>
      <c r="G13" s="6"/>
      <c r="H13" s="10"/>
      <c r="I13" s="1"/>
      <c r="J13" s="6"/>
      <c r="K13" s="6"/>
      <c r="L13" s="6"/>
      <c r="M13" s="6"/>
      <c r="N13" s="6"/>
      <c r="O13" s="10"/>
    </row>
    <row r="14" spans="1:15" ht="12">
      <c r="A14" s="5"/>
      <c r="B14" s="5" t="s">
        <v>59</v>
      </c>
      <c r="C14" s="10">
        <f>AVERAGE(C5:C12)</f>
        <v>102.17500000000001</v>
      </c>
      <c r="D14" s="10">
        <f>AVERAGE(D5:D12)</f>
        <v>69.89999999999999</v>
      </c>
      <c r="E14" s="10">
        <f>AVERAGE(E5:E12)</f>
        <v>59.9875</v>
      </c>
      <c r="F14" s="10">
        <f>AVERAGE(F5:F12)</f>
        <v>50.86</v>
      </c>
      <c r="G14" s="11">
        <f>(C14*35+D14*30+E14*30)/95</f>
        <v>78.66052631578947</v>
      </c>
      <c r="H14" s="10">
        <f>(C14*35+D14*30+E14*30+F14*5)/100</f>
        <v>77.2705</v>
      </c>
      <c r="I14" s="1"/>
      <c r="J14" s="10">
        <f>AVERAGE(J5:J12)</f>
        <v>125.85000000000001</v>
      </c>
      <c r="K14" s="10">
        <f>AVERAGE(K5:K12)</f>
        <v>87.91250000000001</v>
      </c>
      <c r="L14" s="10">
        <f>AVERAGE(L5:L12)</f>
        <v>75.5</v>
      </c>
      <c r="M14" s="10">
        <f>AVERAGE(M5:M12)</f>
        <v>62.61999999999999</v>
      </c>
      <c r="N14" s="11">
        <f>(J14*35+K14*30+L14*30)/95</f>
        <v>97.96973684210526</v>
      </c>
      <c r="O14" s="10">
        <f>(J14*35+K14*30+L14*30+M14*5)/100</f>
        <v>96.20225</v>
      </c>
    </row>
    <row r="15" spans="1:15" ht="12">
      <c r="A15" s="5"/>
      <c r="B15" s="5" t="s">
        <v>60</v>
      </c>
      <c r="C15" s="10">
        <f>Ratios!N96/Ratios!I94</f>
        <v>102.21358963815788</v>
      </c>
      <c r="D15" s="10">
        <f>Ratios!O96/Ratios!J94</f>
        <v>70.18431001890359</v>
      </c>
      <c r="E15" s="10">
        <f>Ratios!P96/Ratios!K94</f>
        <v>60.854810622551156</v>
      </c>
      <c r="F15" s="10">
        <f>Ratios!Q96/Ratios!L94</f>
        <v>46.111640211640214</v>
      </c>
      <c r="G15" s="11">
        <f>(C15*35+D15*30+E15*30)/95</f>
        <v>79.03841322714914</v>
      </c>
      <c r="H15" s="10">
        <f>(C15*35+D15*30+E15*30+F15*5)/100</f>
        <v>77.39207457637369</v>
      </c>
      <c r="I15" s="9"/>
      <c r="J15" s="11">
        <f>Ratios!S96/Ratios!I94</f>
        <v>125.55736019736842</v>
      </c>
      <c r="K15" s="11">
        <f>Ratios!T96/Ratios!J94</f>
        <v>87.76412098298677</v>
      </c>
      <c r="L15" s="11">
        <f>Ratios!U96/Ratios!K94</f>
        <v>76.06543317370483</v>
      </c>
      <c r="M15" s="11">
        <f>Ratios!V96/Ratios!L94</f>
        <v>57.220634920634915</v>
      </c>
      <c r="N15" s="11">
        <f>(J15*35+K15*30+L15*30)/95</f>
        <v>97.9936234906173</v>
      </c>
      <c r="O15" s="10">
        <f>(J15*35+K15*30+L15*30+M15*5)/100</f>
        <v>95.95497406211818</v>
      </c>
    </row>
    <row r="16" spans="1:15" ht="12">
      <c r="A16" s="5"/>
      <c r="B16" s="5"/>
      <c r="C16" s="10"/>
      <c r="D16" s="10"/>
      <c r="E16" s="10"/>
      <c r="F16" s="10"/>
      <c r="G16" s="11"/>
      <c r="H16" s="10"/>
      <c r="I16" s="9"/>
      <c r="J16" s="6"/>
      <c r="K16" s="6"/>
      <c r="L16" s="6"/>
      <c r="M16" s="6"/>
      <c r="N16" s="11"/>
      <c r="O16" s="10"/>
    </row>
    <row r="17" spans="1:15" ht="12">
      <c r="A17" s="5"/>
      <c r="B17" s="5" t="s">
        <v>61</v>
      </c>
      <c r="C17" s="10">
        <v>80.3</v>
      </c>
      <c r="D17" s="10">
        <v>58.3</v>
      </c>
      <c r="E17" s="10">
        <v>50</v>
      </c>
      <c r="F17" s="10">
        <v>35.6</v>
      </c>
      <c r="G17" s="11">
        <f>(C17*35+D17*30+E17*30)/95</f>
        <v>63.78421052631579</v>
      </c>
      <c r="H17" s="10">
        <f>(C17*35+D17*30+E17*30+F17*5)/100</f>
        <v>62.375</v>
      </c>
      <c r="I17" s="9"/>
      <c r="J17" s="6">
        <v>104.2</v>
      </c>
      <c r="K17" s="6">
        <v>77.6</v>
      </c>
      <c r="L17" s="6">
        <v>67.7</v>
      </c>
      <c r="M17" s="6">
        <v>50.9</v>
      </c>
      <c r="N17" s="11">
        <f>(J17*35+K17*30+L17*30)/95</f>
        <v>84.27368421052631</v>
      </c>
      <c r="O17" s="10">
        <f>(J17*35+K17*30+L17*30+M17*5)/100</f>
        <v>82.605</v>
      </c>
    </row>
    <row r="18" spans="1:15" ht="12">
      <c r="A18" s="5"/>
      <c r="B18" s="5" t="s">
        <v>3</v>
      </c>
      <c r="C18" s="10">
        <v>82.1</v>
      </c>
      <c r="D18" s="10">
        <v>59.6</v>
      </c>
      <c r="E18" s="10">
        <v>51</v>
      </c>
      <c r="F18" s="10">
        <v>36.9</v>
      </c>
      <c r="G18" s="11">
        <f>(C18*35+D18*30+E18*30)/95</f>
        <v>65.17368421052632</v>
      </c>
      <c r="H18" s="10">
        <f>(C18*35+D18*30+E18*30+F18*5)/100</f>
        <v>63.76</v>
      </c>
      <c r="I18" s="9"/>
      <c r="J18" s="11">
        <f>C18+(C18*Ratios!C96)</f>
        <v>106.53574097135741</v>
      </c>
      <c r="K18" s="11">
        <f>D18+(D18*Ratios!D96)</f>
        <v>79.33036020583191</v>
      </c>
      <c r="L18" s="11">
        <f>E18+(E18*Ratios!E96)</f>
        <v>69.054</v>
      </c>
      <c r="M18" s="11">
        <f>F18+(F18*Ratios!F96)</f>
        <v>52.75870786516853</v>
      </c>
      <c r="N18" s="11">
        <f>(J18*35+K18*30+L18*30)/95</f>
        <v>86.1082288439207</v>
      </c>
      <c r="O18" s="10">
        <f>(J18*35+K18*30+L18*30+M18*5)/100</f>
        <v>84.4407527949831</v>
      </c>
    </row>
    <row r="19" spans="1:15" ht="12">
      <c r="A19" s="12"/>
      <c r="B19" s="5"/>
      <c r="C19" s="10"/>
      <c r="D19" s="10"/>
      <c r="E19" s="10"/>
      <c r="F19" s="10"/>
      <c r="G19" s="6"/>
      <c r="H19" s="10"/>
      <c r="I19" s="13"/>
      <c r="J19" s="6"/>
      <c r="K19" s="6"/>
      <c r="L19" s="6"/>
      <c r="M19" s="6"/>
      <c r="N19" s="6"/>
      <c r="O19" s="6"/>
    </row>
    <row r="20" spans="1:15" ht="12">
      <c r="A20" s="5"/>
      <c r="B20" s="12" t="s">
        <v>62</v>
      </c>
      <c r="C20" s="2">
        <f aca="true" t="shared" si="2" ref="C20:H20">C18/C14</f>
        <v>0.8035233667726938</v>
      </c>
      <c r="D20" s="2">
        <f t="shared" si="2"/>
        <v>0.8526466380543635</v>
      </c>
      <c r="E20" s="2">
        <f t="shared" si="2"/>
        <v>0.850177120233382</v>
      </c>
      <c r="F20" s="2">
        <f t="shared" si="2"/>
        <v>0.7255210381439244</v>
      </c>
      <c r="G20" s="2">
        <f t="shared" si="2"/>
        <v>0.8285437088086716</v>
      </c>
      <c r="H20" s="2">
        <f t="shared" si="2"/>
        <v>0.8251531955921082</v>
      </c>
      <c r="I20" s="9"/>
      <c r="J20" s="2">
        <f aca="true" t="shared" si="3" ref="J20:O20">J18/J14</f>
        <v>0.8465295269873453</v>
      </c>
      <c r="K20" s="2">
        <f t="shared" si="3"/>
        <v>0.9023786174415687</v>
      </c>
      <c r="L20" s="2">
        <f t="shared" si="3"/>
        <v>0.9146225165562915</v>
      </c>
      <c r="M20" s="2">
        <f t="shared" si="3"/>
        <v>0.8425216842090153</v>
      </c>
      <c r="N20" s="2">
        <f t="shared" si="3"/>
        <v>0.8789268157645316</v>
      </c>
      <c r="O20" s="2">
        <f t="shared" si="3"/>
        <v>0.8777419737582343</v>
      </c>
    </row>
    <row r="21" spans="1:15" ht="12">
      <c r="A21" s="5"/>
      <c r="B21" s="5"/>
      <c r="C21" s="10"/>
      <c r="D21" s="10"/>
      <c r="E21" s="10"/>
      <c r="F21" s="10"/>
      <c r="G21" s="6"/>
      <c r="H21" s="6"/>
      <c r="I21" s="4"/>
      <c r="J21" s="6"/>
      <c r="K21" s="6"/>
      <c r="L21" s="6"/>
      <c r="M21" s="6"/>
      <c r="N21" s="6"/>
      <c r="O21" s="14"/>
    </row>
    <row r="22" spans="1:15" ht="12">
      <c r="A22" s="5"/>
      <c r="B22" s="5" t="s">
        <v>63</v>
      </c>
      <c r="C22" s="3">
        <f>'2001-02'!C20</f>
        <v>0.8141726347531096</v>
      </c>
      <c r="D22" s="3">
        <f>'2001-02'!D20</f>
        <v>0.8639053254437871</v>
      </c>
      <c r="E22" s="3">
        <f>'2001-02'!E20</f>
        <v>0.9050715214564369</v>
      </c>
      <c r="F22" s="3">
        <f>'2001-02'!F20</f>
        <v>0.7245190339746214</v>
      </c>
      <c r="G22" s="3">
        <f>'2001-02'!G20</f>
        <v>0.8498251974621261</v>
      </c>
      <c r="H22" s="3">
        <f>'2001-02'!H20</f>
        <v>0.8457351666502441</v>
      </c>
      <c r="I22" s="9"/>
      <c r="J22" s="3">
        <f>'2001-02'!J20</f>
        <v>0.8494439970096104</v>
      </c>
      <c r="K22" s="3">
        <f>'2001-02'!K20</f>
        <v>0.9004535231785966</v>
      </c>
      <c r="L22" s="3">
        <f>'2001-02'!L20</f>
        <v>0.9564347117188177</v>
      </c>
      <c r="M22" s="3">
        <f>'2001-02'!M20</f>
        <v>0.8237041928029053</v>
      </c>
      <c r="N22" s="3">
        <f>'2001-02'!N20</f>
        <v>0.8897015727572105</v>
      </c>
      <c r="O22" s="3">
        <f>'2001-02'!O20</f>
        <v>0.8875464168715403</v>
      </c>
    </row>
    <row r="23" spans="1:15" ht="12">
      <c r="A23" s="5"/>
      <c r="B23" s="5"/>
      <c r="C23" s="10"/>
      <c r="D23" s="10"/>
      <c r="E23" s="10"/>
      <c r="F23" s="6"/>
      <c r="G23" s="6"/>
      <c r="H23" s="6"/>
      <c r="I23" s="9"/>
      <c r="J23" s="6"/>
      <c r="K23" s="6"/>
      <c r="L23" s="6"/>
      <c r="M23" s="6"/>
      <c r="N23" s="6"/>
      <c r="O23" s="14"/>
    </row>
    <row r="24" spans="1:15" ht="12">
      <c r="A24" s="5"/>
      <c r="B24" s="5" t="s">
        <v>64</v>
      </c>
      <c r="C24" s="14">
        <f aca="true" t="shared" si="4" ref="C24:H24">C20-C22</f>
        <v>-0.010649267980415877</v>
      </c>
      <c r="D24" s="14">
        <f t="shared" si="4"/>
        <v>-0.011258687389423594</v>
      </c>
      <c r="E24" s="14">
        <f t="shared" si="4"/>
        <v>-0.05489440122305489</v>
      </c>
      <c r="F24" s="14">
        <f t="shared" si="4"/>
        <v>0.0010020041693030723</v>
      </c>
      <c r="G24" s="14">
        <f t="shared" si="4"/>
        <v>-0.021281488653454583</v>
      </c>
      <c r="H24" s="14">
        <f t="shared" si="4"/>
        <v>-0.02058197105813586</v>
      </c>
      <c r="I24" s="9"/>
      <c r="J24" s="14">
        <f aca="true" t="shared" si="5" ref="J24:O24">J20-J22</f>
        <v>-0.002914470022265081</v>
      </c>
      <c r="K24" s="14">
        <f t="shared" si="5"/>
        <v>0.001925094262972049</v>
      </c>
      <c r="L24" s="14">
        <f t="shared" si="5"/>
        <v>-0.04181219516252621</v>
      </c>
      <c r="M24" s="14">
        <f t="shared" si="5"/>
        <v>0.01881749140611</v>
      </c>
      <c r="N24" s="14">
        <f t="shared" si="5"/>
        <v>-0.010774756992678935</v>
      </c>
      <c r="O24" s="14">
        <f t="shared" si="5"/>
        <v>-0.009804443113306083</v>
      </c>
    </row>
    <row r="25" spans="1:15" ht="12">
      <c r="A25" s="5"/>
      <c r="B25" s="5"/>
      <c r="C25" s="14"/>
      <c r="D25" s="14"/>
      <c r="E25" s="14"/>
      <c r="F25" s="14"/>
      <c r="G25" s="14"/>
      <c r="H25" s="14"/>
      <c r="I25" s="6"/>
      <c r="J25" s="14"/>
      <c r="K25" s="14"/>
      <c r="L25" s="14"/>
      <c r="M25" s="14"/>
      <c r="N25" s="14"/>
      <c r="O25" s="14"/>
    </row>
    <row r="26" spans="1:15" ht="12">
      <c r="A26" s="15"/>
      <c r="B26" s="15" t="str">
        <f>'2004-05'!B25</f>
        <v>Notes:</v>
      </c>
      <c r="C26" s="17"/>
      <c r="D26" s="17"/>
      <c r="E26" s="17"/>
      <c r="F26" s="17"/>
      <c r="G26" s="17"/>
      <c r="H26" s="17"/>
      <c r="I26" s="16"/>
      <c r="J26" s="17"/>
      <c r="K26" s="17"/>
      <c r="L26" s="17"/>
      <c r="M26" s="17"/>
      <c r="N26" s="17"/>
      <c r="O26" s="17"/>
    </row>
    <row r="27" spans="1:15" ht="12">
      <c r="A27" s="15"/>
      <c r="B27" s="15" t="str">
        <f>'2004-05'!B26</f>
        <v>1. Salary. This figure represents the contracted salary excluding summer teaching, stipends, extra load, or other forms of remuneration.</v>
      </c>
      <c r="C27" s="17"/>
      <c r="D27" s="17"/>
      <c r="E27" s="17"/>
      <c r="F27" s="17"/>
      <c r="G27" s="17"/>
      <c r="H27" s="17"/>
      <c r="I27" s="16"/>
      <c r="J27" s="17"/>
      <c r="K27" s="17"/>
      <c r="L27" s="17"/>
      <c r="M27" s="17"/>
      <c r="N27" s="17"/>
      <c r="O27" s="17"/>
    </row>
    <row r="28" spans="1:15" ht="35.25" customHeight="1">
      <c r="A28" s="18"/>
      <c r="B28" s="43" t="str">
        <f>'2004-05'!B27</f>
        <v>2. Benefits. Compensation includes benefits made by the institution on behalf of the individual faculty member; the amount does not include the employee contribution. Major benefits include a) retirement, b) medical insurance, c) disability income protection, d) tuition for faculty dependents, e) dental insurance, f) social security, g) unemployment insurance, h) group life insurance, i) workers' compensation insurance, j) other benefits in-kind with cash alternatives.</v>
      </c>
      <c r="C28" s="43"/>
      <c r="D28" s="43"/>
      <c r="E28" s="43"/>
      <c r="F28" s="43"/>
      <c r="G28" s="43"/>
      <c r="H28" s="43"/>
      <c r="I28" s="43"/>
      <c r="J28" s="43"/>
      <c r="K28" s="43"/>
      <c r="L28" s="43"/>
      <c r="M28" s="43"/>
      <c r="N28" s="43"/>
      <c r="O28" s="43"/>
    </row>
    <row r="29" spans="1:15" ht="12">
      <c r="A29" s="15"/>
      <c r="B29" s="15" t="str">
        <f>'2004-05'!B28</f>
        <v>3. Total Compensation. Total compensation includes salary plus institutional contribution to benefits.</v>
      </c>
      <c r="C29" s="17"/>
      <c r="D29" s="17"/>
      <c r="E29" s="17"/>
      <c r="F29" s="17"/>
      <c r="G29" s="17"/>
      <c r="H29" s="17"/>
      <c r="I29" s="16"/>
      <c r="J29" s="17"/>
      <c r="K29" s="17"/>
      <c r="L29" s="17"/>
      <c r="M29" s="17"/>
      <c r="N29" s="17"/>
      <c r="O29" s="17"/>
    </row>
    <row r="30" spans="1:15" ht="12">
      <c r="A30" s="15"/>
      <c r="B30" s="15" t="str">
        <f>'2004-05'!B29</f>
        <v>Source: UO Office of Institutional Research.</v>
      </c>
      <c r="C30" s="17"/>
      <c r="D30" s="17"/>
      <c r="E30" s="17"/>
      <c r="F30" s="17"/>
      <c r="G30" s="17"/>
      <c r="H30" s="17"/>
      <c r="I30" s="16"/>
      <c r="J30" s="17"/>
      <c r="K30" s="17"/>
      <c r="L30" s="17"/>
      <c r="M30" s="17"/>
      <c r="N30" s="17"/>
      <c r="O30" s="17"/>
    </row>
  </sheetData>
  <mergeCells count="5">
    <mergeCell ref="B28:O28"/>
    <mergeCell ref="C1:H1"/>
    <mergeCell ref="C2:H2"/>
    <mergeCell ref="J1:O1"/>
    <mergeCell ref="J2:O2"/>
  </mergeCells>
  <printOptions/>
  <pageMargins left="0.75" right="0.75" top="1" bottom="1" header="0.5" footer="0.5"/>
  <pageSetup fitToHeight="1" fitToWidth="1" horizontalDpi="600" verticalDpi="600" orientation="landscape"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jpmonroe</dc:creator>
  <cp:keywords/>
  <dc:description/>
  <cp:lastModifiedBy>Marie Vitulli</cp:lastModifiedBy>
  <cp:lastPrinted>2007-05-09T20:47:56Z</cp:lastPrinted>
  <dcterms:created xsi:type="dcterms:W3CDTF">2005-08-09T23:00:22Z</dcterms:created>
  <dcterms:modified xsi:type="dcterms:W3CDTF">2008-04-23T22:18:51Z</dcterms:modified>
  <cp:category/>
  <cp:version/>
  <cp:contentType/>
  <cp:contentStatus/>
</cp:coreProperties>
</file>